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vell-my.sharepoint.com/personal/rjonsson_marvell_com/Documents/Experiments/"/>
    </mc:Choice>
  </mc:AlternateContent>
  <xr:revisionPtr revIDLastSave="61" documentId="8_{8F6CF6A2-9115-4003-9C95-D0B74012C4F8}" xr6:coauthVersionLast="45" xr6:coauthVersionMax="45" xr10:uidLastSave="{0425B3FE-4012-46AA-9E86-875175261441}"/>
  <bookViews>
    <workbookView xWindow="-120" yWindow="-120" windowWidth="29040" windowHeight="15840" xr2:uid="{DAD3BC82-8C51-402C-BEC9-7B43728DFE3A}"/>
  </bookViews>
  <sheets>
    <sheet name="Info" sheetId="5" r:id="rId1"/>
    <sheet name="Config" sheetId="7" r:id="rId2"/>
    <sheet name="Calculate" sheetId="3" r:id="rId3"/>
    <sheet name="Masks" sheetId="4" r:id="rId4"/>
    <sheet name="Channels" sheetId="11" r:id="rId5"/>
    <sheet name="Scenario Summary" sheetId="14" r:id="rId6"/>
  </sheets>
  <externalReferences>
    <externalReference r:id="rId7"/>
  </externalReferences>
  <definedNames>
    <definedName name="AFE_noise_ds">Config!$C$22</definedName>
    <definedName name="AFE_noise_us">Config!$B$22</definedName>
    <definedName name="cable_length">Config!$B$6</definedName>
    <definedName name="cable_model">Config!$B$27</definedName>
    <definedName name="connector_echo_model">Config!$B$30</definedName>
    <definedName name="DataRate_ds">Config!$C$4</definedName>
    <definedName name="DataRate_us">Config!$B$4</definedName>
    <definedName name="EC_cancel_ds">Config!$C$23</definedName>
    <definedName name="EC_cancel_us">Config!$B$23</definedName>
    <definedName name="EC_conector_ratio_ds">Config!$C$24</definedName>
    <definedName name="EC_conector_ratio_us">Config!$B$24</definedName>
    <definedName name="f_max">Config!$B$32</definedName>
    <definedName name="F_Nyquist_ds">Calculate!$AF$13</definedName>
    <definedName name="F_Nyquist_us">Calculate!$AE$13</definedName>
    <definedName name="f_step">Calculate!$AE$11</definedName>
    <definedName name="fec_bits_per_symbol">Config!$B$14</definedName>
    <definedName name="fec_block_size">Config!$B$11</definedName>
    <definedName name="fec_data_size">Config!$B$12</definedName>
    <definedName name="fec_efficency">Config!$B$13</definedName>
    <definedName name="framing_overhead">Config!$B$16</definedName>
    <definedName name="implementation_loss_ds">Config!$C$25</definedName>
    <definedName name="implementation_loss_us">Config!$B$25</definedName>
    <definedName name="impulse_error_rate">Config!$B$21</definedName>
    <definedName name="K_ch_UPSD_ds">Masks!$AB$4</definedName>
    <definedName name="K_ch_UPSD_us">Masks!$AA$4</definedName>
    <definedName name="micro_reflection_limit">Config!$B$7</definedName>
    <definedName name="number_of_connectors">Config!$B$8</definedName>
    <definedName name="PAM_ds">Config!$C$10</definedName>
    <definedName name="PAM_us">Config!$B$10</definedName>
    <definedName name="pcb_model">Config!$B$28</definedName>
    <definedName name="PCB_trace_length">Config!$B$29</definedName>
    <definedName name="_xlnm.Print_Area" localSheetId="1">Config!$A$1:$S$38</definedName>
    <definedName name="psd_mask_ds">Config!$C$18</definedName>
    <definedName name="psd_mask_us">Config!$B$18</definedName>
    <definedName name="r_x">'[1]Cat6 191-031179-00'!$E$15</definedName>
    <definedName name="req_SNR_ds">Calculate!$AF$9</definedName>
    <definedName name="req_SNR_us">Calculate!$AE$9</definedName>
    <definedName name="S_ch_ds">Masks!$AB$3</definedName>
    <definedName name="S_ch_us">Masks!$AA$3</definedName>
    <definedName name="sample_rate_ds">Calculate!$AF$12</definedName>
    <definedName name="sample_rate_us">Calculate!$AE$12</definedName>
    <definedName name="SNR_margin_ds">Config!$C$39</definedName>
    <definedName name="SNR_margin_us">Config!$B$39</definedName>
    <definedName name="T">Config!$B$31</definedName>
    <definedName name="Target_BER">Config!$B$5</definedName>
    <definedName name="TDD_DutyCycle_ds">Config!$C$15</definedName>
    <definedName name="TDD_DutyCycle_us">Config!$B$15</definedName>
    <definedName name="TDD_DutyCyvle_ds">Config!$C$15</definedName>
    <definedName name="TDD_DutyCyvle_us">Config!$B$15</definedName>
    <definedName name="Tx_power_ds">Config!$C$19</definedName>
    <definedName name="Tx_power_us">Config!$B$19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7" l="1"/>
  <c r="AG3" i="11"/>
  <c r="AG2" i="11"/>
  <c r="C13" i="7"/>
  <c r="C7" i="7" l="1"/>
  <c r="C5" i="7"/>
  <c r="C6" i="7"/>
  <c r="C8" i="7"/>
  <c r="C11" i="7"/>
  <c r="C12" i="7"/>
  <c r="C14" i="7"/>
  <c r="C16" i="7"/>
  <c r="C21" i="7"/>
  <c r="C22" i="7"/>
  <c r="Z3" i="11" l="1"/>
  <c r="Z2" i="11"/>
  <c r="A1" i="7" l="1"/>
  <c r="AB2" i="4"/>
  <c r="AA2" i="4"/>
  <c r="AA3" i="4"/>
  <c r="AA4" i="4" s="1"/>
  <c r="AE14" i="3"/>
  <c r="AE11" i="3"/>
  <c r="AE3" i="3"/>
  <c r="AE4" i="3" s="1"/>
  <c r="AE5" i="3" s="1"/>
  <c r="AE6" i="3" s="1"/>
  <c r="AE2" i="3"/>
  <c r="AF2" i="3"/>
  <c r="AE12" i="3" l="1"/>
  <c r="AE13" i="3" s="1"/>
  <c r="V2" i="11"/>
  <c r="V3" i="11"/>
  <c r="A2" i="3" l="1"/>
  <c r="X1" i="4" a="1"/>
  <c r="X1" i="4" s="1"/>
  <c r="AB2" i="3" l="1"/>
  <c r="AB3" i="4"/>
  <c r="AB4" i="4" s="1"/>
  <c r="A3" i="3"/>
  <c r="A4" i="3" l="1"/>
  <c r="AB3" i="3"/>
  <c r="C35" i="7"/>
  <c r="B35" i="7"/>
  <c r="A5" i="3" l="1"/>
  <c r="AB4" i="3"/>
  <c r="AF3" i="3"/>
  <c r="AF4" i="3" s="1"/>
  <c r="AF14" i="3"/>
  <c r="AF12" i="3" l="1"/>
  <c r="AF13" i="3" s="1"/>
  <c r="C41" i="7" s="1"/>
  <c r="A6" i="3"/>
  <c r="AB5" i="3"/>
  <c r="AF5" i="3"/>
  <c r="B41" i="7"/>
  <c r="AF6" i="3" l="1"/>
  <c r="AF7" i="3" s="1"/>
  <c r="AF8" i="3" s="1"/>
  <c r="A7" i="3"/>
  <c r="AB6" i="3"/>
  <c r="AE7" i="3"/>
  <c r="AE8" i="3" s="1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Q9" i="3"/>
  <c r="N2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O9" i="3"/>
  <c r="A8" i="3" l="1"/>
  <c r="AB7" i="3"/>
  <c r="AE9" i="3"/>
  <c r="AF9" i="3"/>
  <c r="A2" i="11"/>
  <c r="D2" i="4"/>
  <c r="B2" i="3"/>
  <c r="O131" i="3"/>
  <c r="O123" i="3"/>
  <c r="O195" i="3"/>
  <c r="O187" i="3"/>
  <c r="O163" i="3"/>
  <c r="O155" i="3"/>
  <c r="Q194" i="3"/>
  <c r="Q170" i="3"/>
  <c r="Q146" i="3"/>
  <c r="Q122" i="3"/>
  <c r="Q98" i="3"/>
  <c r="Q74" i="3"/>
  <c r="Q50" i="3"/>
  <c r="Q26" i="3"/>
  <c r="Q2" i="3"/>
  <c r="Q193" i="3"/>
  <c r="Q169" i="3"/>
  <c r="Q153" i="3"/>
  <c r="Q129" i="3"/>
  <c r="Q105" i="3"/>
  <c r="Q81" i="3"/>
  <c r="Q57" i="3"/>
  <c r="Q33" i="3"/>
  <c r="Q17" i="3"/>
  <c r="O147" i="3"/>
  <c r="Q200" i="3"/>
  <c r="Q192" i="3"/>
  <c r="Q184" i="3"/>
  <c r="Q176" i="3"/>
  <c r="Q168" i="3"/>
  <c r="Q160" i="3"/>
  <c r="Q152" i="3"/>
  <c r="Q144" i="3"/>
  <c r="Q136" i="3"/>
  <c r="Q128" i="3"/>
  <c r="Q120" i="3"/>
  <c r="Q112" i="3"/>
  <c r="Q104" i="3"/>
  <c r="Q96" i="3"/>
  <c r="Q88" i="3"/>
  <c r="Q80" i="3"/>
  <c r="Q72" i="3"/>
  <c r="Q64" i="3"/>
  <c r="Q56" i="3"/>
  <c r="Q48" i="3"/>
  <c r="Q40" i="3"/>
  <c r="Q32" i="3"/>
  <c r="Q24" i="3"/>
  <c r="Q16" i="3"/>
  <c r="Q8" i="3"/>
  <c r="Q178" i="3"/>
  <c r="Q154" i="3"/>
  <c r="Q130" i="3"/>
  <c r="Q106" i="3"/>
  <c r="Q82" i="3"/>
  <c r="Q58" i="3"/>
  <c r="Q34" i="3"/>
  <c r="Q10" i="3"/>
  <c r="Q201" i="3"/>
  <c r="Q177" i="3"/>
  <c r="Q145" i="3"/>
  <c r="Q121" i="3"/>
  <c r="Q97" i="3"/>
  <c r="Q73" i="3"/>
  <c r="Q49" i="3"/>
  <c r="Q41" i="3"/>
  <c r="Q25" i="3"/>
  <c r="O139" i="3"/>
  <c r="Q199" i="3"/>
  <c r="Q191" i="3"/>
  <c r="Q183" i="3"/>
  <c r="Q175" i="3"/>
  <c r="Q167" i="3"/>
  <c r="Q159" i="3"/>
  <c r="Q151" i="3"/>
  <c r="Q143" i="3"/>
  <c r="Q135" i="3"/>
  <c r="Q127" i="3"/>
  <c r="Q119" i="3"/>
  <c r="Q111" i="3"/>
  <c r="Q103" i="3"/>
  <c r="Q95" i="3"/>
  <c r="Q87" i="3"/>
  <c r="Q79" i="3"/>
  <c r="Q71" i="3"/>
  <c r="Q63" i="3"/>
  <c r="Q55" i="3"/>
  <c r="Q47" i="3"/>
  <c r="Q39" i="3"/>
  <c r="Q31" i="3"/>
  <c r="Q23" i="3"/>
  <c r="Q15" i="3"/>
  <c r="Q7" i="3"/>
  <c r="Q182" i="3"/>
  <c r="Q166" i="3"/>
  <c r="Q142" i="3"/>
  <c r="Q118" i="3"/>
  <c r="Q94" i="3"/>
  <c r="Q70" i="3"/>
  <c r="Q46" i="3"/>
  <c r="Q22" i="3"/>
  <c r="Q197" i="3"/>
  <c r="Q173" i="3"/>
  <c r="Q149" i="3"/>
  <c r="Q125" i="3"/>
  <c r="Q93" i="3"/>
  <c r="Q77" i="3"/>
  <c r="Q53" i="3"/>
  <c r="Q37" i="3"/>
  <c r="Q29" i="3"/>
  <c r="Q5" i="3"/>
  <c r="Q190" i="3"/>
  <c r="Q158" i="3"/>
  <c r="Q134" i="3"/>
  <c r="Q110" i="3"/>
  <c r="Q86" i="3"/>
  <c r="Q62" i="3"/>
  <c r="Q38" i="3"/>
  <c r="Q6" i="3"/>
  <c r="Q189" i="3"/>
  <c r="Q165" i="3"/>
  <c r="Q141" i="3"/>
  <c r="Q117" i="3"/>
  <c r="Q101" i="3"/>
  <c r="Q69" i="3"/>
  <c r="Q21" i="3"/>
  <c r="O179" i="3"/>
  <c r="O115" i="3"/>
  <c r="Q196" i="3"/>
  <c r="Q188" i="3"/>
  <c r="Q180" i="3"/>
  <c r="Q172" i="3"/>
  <c r="Q164" i="3"/>
  <c r="Q156" i="3"/>
  <c r="Q148" i="3"/>
  <c r="Q140" i="3"/>
  <c r="Q132" i="3"/>
  <c r="Q124" i="3"/>
  <c r="Q116" i="3"/>
  <c r="Q108" i="3"/>
  <c r="Q100" i="3"/>
  <c r="Q92" i="3"/>
  <c r="Q84" i="3"/>
  <c r="Q76" i="3"/>
  <c r="Q68" i="3"/>
  <c r="Q60" i="3"/>
  <c r="Q52" i="3"/>
  <c r="Q44" i="3"/>
  <c r="Q36" i="3"/>
  <c r="Q28" i="3"/>
  <c r="Q20" i="3"/>
  <c r="Q12" i="3"/>
  <c r="Q4" i="3"/>
  <c r="Q198" i="3"/>
  <c r="Q174" i="3"/>
  <c r="Q150" i="3"/>
  <c r="Q126" i="3"/>
  <c r="Q102" i="3"/>
  <c r="Q78" i="3"/>
  <c r="Q54" i="3"/>
  <c r="Q30" i="3"/>
  <c r="Q14" i="3"/>
  <c r="Q181" i="3"/>
  <c r="Q157" i="3"/>
  <c r="Q133" i="3"/>
  <c r="Q109" i="3"/>
  <c r="Q85" i="3"/>
  <c r="Q61" i="3"/>
  <c r="Q45" i="3"/>
  <c r="Q13" i="3"/>
  <c r="O171" i="3"/>
  <c r="O107" i="3"/>
  <c r="Q195" i="3"/>
  <c r="Q187" i="3"/>
  <c r="Q179" i="3"/>
  <c r="Q171" i="3"/>
  <c r="Q163" i="3"/>
  <c r="Q155" i="3"/>
  <c r="Q147" i="3"/>
  <c r="Q139" i="3"/>
  <c r="Q131" i="3"/>
  <c r="Q123" i="3"/>
  <c r="Q115" i="3"/>
  <c r="Q107" i="3"/>
  <c r="Q99" i="3"/>
  <c r="Q91" i="3"/>
  <c r="Q83" i="3"/>
  <c r="Q75" i="3"/>
  <c r="Q67" i="3"/>
  <c r="Q59" i="3"/>
  <c r="Q51" i="3"/>
  <c r="Q43" i="3"/>
  <c r="Q35" i="3"/>
  <c r="Q27" i="3"/>
  <c r="Q19" i="3"/>
  <c r="Q11" i="3"/>
  <c r="Q3" i="3"/>
  <c r="Q186" i="3"/>
  <c r="Q162" i="3"/>
  <c r="Q138" i="3"/>
  <c r="Q114" i="3"/>
  <c r="Q90" i="3"/>
  <c r="Q66" i="3"/>
  <c r="Q42" i="3"/>
  <c r="Q18" i="3"/>
  <c r="Q185" i="3"/>
  <c r="Q161" i="3"/>
  <c r="Q137" i="3"/>
  <c r="Q113" i="3"/>
  <c r="Q89" i="3"/>
  <c r="Q65" i="3"/>
  <c r="O154" i="3"/>
  <c r="O114" i="3"/>
  <c r="O66" i="3"/>
  <c r="O50" i="3"/>
  <c r="O200" i="3"/>
  <c r="O176" i="3"/>
  <c r="O144" i="3"/>
  <c r="O104" i="3"/>
  <c r="O88" i="3"/>
  <c r="O56" i="3"/>
  <c r="O16" i="3"/>
  <c r="O199" i="3"/>
  <c r="O191" i="3"/>
  <c r="O183" i="3"/>
  <c r="O175" i="3"/>
  <c r="O167" i="3"/>
  <c r="O159" i="3"/>
  <c r="O151" i="3"/>
  <c r="O143" i="3"/>
  <c r="O135" i="3"/>
  <c r="O127" i="3"/>
  <c r="O119" i="3"/>
  <c r="O111" i="3"/>
  <c r="O103" i="3"/>
  <c r="O95" i="3"/>
  <c r="O87" i="3"/>
  <c r="O79" i="3"/>
  <c r="O71" i="3"/>
  <c r="O63" i="3"/>
  <c r="O55" i="3"/>
  <c r="O47" i="3"/>
  <c r="O39" i="3"/>
  <c r="O31" i="3"/>
  <c r="O23" i="3"/>
  <c r="O15" i="3"/>
  <c r="O7" i="3"/>
  <c r="O170" i="3"/>
  <c r="O106" i="3"/>
  <c r="O42" i="3"/>
  <c r="O168" i="3"/>
  <c r="O128" i="3"/>
  <c r="O80" i="3"/>
  <c r="O8" i="3"/>
  <c r="O198" i="3"/>
  <c r="O190" i="3"/>
  <c r="O182" i="3"/>
  <c r="O174" i="3"/>
  <c r="O166" i="3"/>
  <c r="O158" i="3"/>
  <c r="O150" i="3"/>
  <c r="O142" i="3"/>
  <c r="O134" i="3"/>
  <c r="O126" i="3"/>
  <c r="O118" i="3"/>
  <c r="O110" i="3"/>
  <c r="O102" i="3"/>
  <c r="O94" i="3"/>
  <c r="O86" i="3"/>
  <c r="O78" i="3"/>
  <c r="O70" i="3"/>
  <c r="O62" i="3"/>
  <c r="O54" i="3"/>
  <c r="O46" i="3"/>
  <c r="O38" i="3"/>
  <c r="O30" i="3"/>
  <c r="O22" i="3"/>
  <c r="O14" i="3"/>
  <c r="O6" i="3"/>
  <c r="O186" i="3"/>
  <c r="O138" i="3"/>
  <c r="O90" i="3"/>
  <c r="O26" i="3"/>
  <c r="O184" i="3"/>
  <c r="O152" i="3"/>
  <c r="O120" i="3"/>
  <c r="O96" i="3"/>
  <c r="O64" i="3"/>
  <c r="O40" i="3"/>
  <c r="O32" i="3"/>
  <c r="O197" i="3"/>
  <c r="O189" i="3"/>
  <c r="O181" i="3"/>
  <c r="O173" i="3"/>
  <c r="O165" i="3"/>
  <c r="O157" i="3"/>
  <c r="O149" i="3"/>
  <c r="O141" i="3"/>
  <c r="O133" i="3"/>
  <c r="O125" i="3"/>
  <c r="O117" i="3"/>
  <c r="O109" i="3"/>
  <c r="O101" i="3"/>
  <c r="O93" i="3"/>
  <c r="O85" i="3"/>
  <c r="O77" i="3"/>
  <c r="O69" i="3"/>
  <c r="O61" i="3"/>
  <c r="O53" i="3"/>
  <c r="O45" i="3"/>
  <c r="O37" i="3"/>
  <c r="O29" i="3"/>
  <c r="O21" i="3"/>
  <c r="O13" i="3"/>
  <c r="O5" i="3"/>
  <c r="O178" i="3"/>
  <c r="O130" i="3"/>
  <c r="O82" i="3"/>
  <c r="O18" i="3"/>
  <c r="O192" i="3"/>
  <c r="O160" i="3"/>
  <c r="O136" i="3"/>
  <c r="O112" i="3"/>
  <c r="O72" i="3"/>
  <c r="O48" i="3"/>
  <c r="O24" i="3"/>
  <c r="O196" i="3"/>
  <c r="O188" i="3"/>
  <c r="O180" i="3"/>
  <c r="O172" i="3"/>
  <c r="O164" i="3"/>
  <c r="O156" i="3"/>
  <c r="O148" i="3"/>
  <c r="O140" i="3"/>
  <c r="O132" i="3"/>
  <c r="O124" i="3"/>
  <c r="O116" i="3"/>
  <c r="O108" i="3"/>
  <c r="O100" i="3"/>
  <c r="O92" i="3"/>
  <c r="O84" i="3"/>
  <c r="O76" i="3"/>
  <c r="O68" i="3"/>
  <c r="O60" i="3"/>
  <c r="O52" i="3"/>
  <c r="O44" i="3"/>
  <c r="O36" i="3"/>
  <c r="O28" i="3"/>
  <c r="O20" i="3"/>
  <c r="O12" i="3"/>
  <c r="O4" i="3"/>
  <c r="O99" i="3"/>
  <c r="O91" i="3"/>
  <c r="O83" i="3"/>
  <c r="O75" i="3"/>
  <c r="O67" i="3"/>
  <c r="O59" i="3"/>
  <c r="O51" i="3"/>
  <c r="O43" i="3"/>
  <c r="O35" i="3"/>
  <c r="O27" i="3"/>
  <c r="O19" i="3"/>
  <c r="O11" i="3"/>
  <c r="O3" i="3"/>
  <c r="O162" i="3"/>
  <c r="O122" i="3"/>
  <c r="O74" i="3"/>
  <c r="O58" i="3"/>
  <c r="O34" i="3"/>
  <c r="O2" i="3"/>
  <c r="O194" i="3"/>
  <c r="O146" i="3"/>
  <c r="O98" i="3"/>
  <c r="O10" i="3"/>
  <c r="O201" i="3"/>
  <c r="O193" i="3"/>
  <c r="O185" i="3"/>
  <c r="O177" i="3"/>
  <c r="O169" i="3"/>
  <c r="O161" i="3"/>
  <c r="O153" i="3"/>
  <c r="O145" i="3"/>
  <c r="O137" i="3"/>
  <c r="O129" i="3"/>
  <c r="O121" i="3"/>
  <c r="O113" i="3"/>
  <c r="O105" i="3"/>
  <c r="O97" i="3"/>
  <c r="O89" i="3"/>
  <c r="O81" i="3"/>
  <c r="O73" i="3"/>
  <c r="O65" i="3"/>
  <c r="O57" i="3"/>
  <c r="O49" i="3"/>
  <c r="O41" i="3"/>
  <c r="O33" i="3"/>
  <c r="O25" i="3"/>
  <c r="O17" i="3"/>
  <c r="O2" i="11" l="1"/>
  <c r="L2" i="11"/>
  <c r="R2" i="11"/>
  <c r="N2" i="11"/>
  <c r="K2" i="4"/>
  <c r="L2" i="4"/>
  <c r="Q2" i="11"/>
  <c r="J2" i="11"/>
  <c r="N2" i="4"/>
  <c r="M2" i="4"/>
  <c r="R2" i="4"/>
  <c r="M2" i="11"/>
  <c r="K2" i="11"/>
  <c r="I2" i="11"/>
  <c r="H2" i="11"/>
  <c r="G2" i="11"/>
  <c r="F2" i="11"/>
  <c r="E2" i="11"/>
  <c r="A9" i="3"/>
  <c r="AB8" i="3"/>
  <c r="C38" i="7"/>
  <c r="B38" i="7"/>
  <c r="F2" i="4"/>
  <c r="A3" i="11"/>
  <c r="I2" i="4"/>
  <c r="G2" i="4"/>
  <c r="O2" i="4"/>
  <c r="H2" i="4"/>
  <c r="E2" i="4"/>
  <c r="B4" i="3"/>
  <c r="D3" i="4"/>
  <c r="B3" i="3"/>
  <c r="P2" i="4"/>
  <c r="J2" i="4"/>
  <c r="O3" i="11" l="1"/>
  <c r="L3" i="11"/>
  <c r="R3" i="11"/>
  <c r="N3" i="11"/>
  <c r="Q3" i="11"/>
  <c r="J3" i="11"/>
  <c r="K3" i="4"/>
  <c r="L3" i="4"/>
  <c r="M3" i="4"/>
  <c r="N3" i="4"/>
  <c r="M3" i="11"/>
  <c r="K3" i="11"/>
  <c r="R3" i="4"/>
  <c r="A10" i="3"/>
  <c r="AB9" i="3"/>
  <c r="I3" i="11"/>
  <c r="H3" i="11"/>
  <c r="G3" i="11"/>
  <c r="F3" i="11"/>
  <c r="E3" i="11"/>
  <c r="J3" i="4"/>
  <c r="A4" i="11"/>
  <c r="D4" i="4"/>
  <c r="F3" i="4"/>
  <c r="P3" i="4"/>
  <c r="I3" i="4"/>
  <c r="E3" i="4"/>
  <c r="G3" i="4"/>
  <c r="H3" i="4"/>
  <c r="O3" i="4"/>
  <c r="O4" i="11" l="1"/>
  <c r="L4" i="11"/>
  <c r="R4" i="11"/>
  <c r="N4" i="11"/>
  <c r="K4" i="4"/>
  <c r="L4" i="4"/>
  <c r="Q4" i="11"/>
  <c r="J4" i="11"/>
  <c r="N4" i="4"/>
  <c r="M4" i="4"/>
  <c r="M4" i="11"/>
  <c r="K4" i="11"/>
  <c r="I4" i="11"/>
  <c r="H4" i="11"/>
  <c r="G4" i="11"/>
  <c r="F4" i="11"/>
  <c r="E4" i="11"/>
  <c r="A11" i="3"/>
  <c r="AB10" i="3"/>
  <c r="F4" i="4"/>
  <c r="R4" i="4"/>
  <c r="P4" i="4"/>
  <c r="I4" i="4"/>
  <c r="G4" i="4"/>
  <c r="J4" i="4"/>
  <c r="H4" i="4"/>
  <c r="E4" i="4"/>
  <c r="O4" i="4"/>
  <c r="A5" i="11"/>
  <c r="B5" i="3"/>
  <c r="D5" i="4"/>
  <c r="O5" i="11" l="1"/>
  <c r="L5" i="11"/>
  <c r="R5" i="11"/>
  <c r="N5" i="11"/>
  <c r="K5" i="4"/>
  <c r="L5" i="4"/>
  <c r="Q5" i="11"/>
  <c r="J5" i="11"/>
  <c r="N5" i="4"/>
  <c r="M5" i="4"/>
  <c r="M5" i="11"/>
  <c r="K5" i="11"/>
  <c r="R5" i="4"/>
  <c r="I5" i="11"/>
  <c r="H5" i="11"/>
  <c r="G5" i="11"/>
  <c r="F5" i="11"/>
  <c r="E5" i="11"/>
  <c r="A12" i="3"/>
  <c r="AB11" i="3"/>
  <c r="A6" i="11"/>
  <c r="B6" i="3"/>
  <c r="D6" i="4"/>
  <c r="P5" i="4"/>
  <c r="E5" i="4"/>
  <c r="G5" i="4"/>
  <c r="J5" i="4"/>
  <c r="H5" i="4"/>
  <c r="I5" i="4"/>
  <c r="O5" i="4"/>
  <c r="F5" i="4"/>
  <c r="O6" i="11" l="1"/>
  <c r="L6" i="11"/>
  <c r="R6" i="11"/>
  <c r="N6" i="11"/>
  <c r="K6" i="4"/>
  <c r="L6" i="4"/>
  <c r="Q6" i="11"/>
  <c r="J6" i="11"/>
  <c r="N6" i="4"/>
  <c r="M6" i="4"/>
  <c r="M6" i="11"/>
  <c r="K6" i="11"/>
  <c r="R6" i="4"/>
  <c r="A13" i="3"/>
  <c r="AB12" i="3"/>
  <c r="I6" i="11"/>
  <c r="H6" i="11"/>
  <c r="G6" i="11"/>
  <c r="F6" i="11"/>
  <c r="E6" i="11"/>
  <c r="A7" i="11"/>
  <c r="B7" i="3"/>
  <c r="D7" i="4"/>
  <c r="I6" i="4"/>
  <c r="O6" i="4"/>
  <c r="G6" i="4"/>
  <c r="F6" i="4"/>
  <c r="E6" i="4"/>
  <c r="H6" i="4"/>
  <c r="J6" i="4"/>
  <c r="P6" i="4"/>
  <c r="O7" i="11" l="1"/>
  <c r="L7" i="11"/>
  <c r="R7" i="11"/>
  <c r="N7" i="11"/>
  <c r="K7" i="4"/>
  <c r="L7" i="4"/>
  <c r="Q7" i="11"/>
  <c r="J7" i="11"/>
  <c r="N7" i="4"/>
  <c r="M7" i="4"/>
  <c r="M7" i="11"/>
  <c r="K7" i="11"/>
  <c r="R7" i="4"/>
  <c r="I7" i="11"/>
  <c r="H7" i="11"/>
  <c r="G7" i="11"/>
  <c r="F7" i="11"/>
  <c r="E7" i="11"/>
  <c r="A14" i="3"/>
  <c r="AB13" i="3"/>
  <c r="A8" i="11"/>
  <c r="J7" i="4"/>
  <c r="H7" i="4"/>
  <c r="G7" i="4"/>
  <c r="F7" i="4"/>
  <c r="I7" i="4"/>
  <c r="E7" i="4"/>
  <c r="P7" i="4"/>
  <c r="O7" i="4"/>
  <c r="B8" i="3"/>
  <c r="D8" i="4"/>
  <c r="O8" i="11" l="1"/>
  <c r="L8" i="11"/>
  <c r="R8" i="11"/>
  <c r="N8" i="11"/>
  <c r="K8" i="4"/>
  <c r="L8" i="4"/>
  <c r="Q8" i="11"/>
  <c r="J8" i="11"/>
  <c r="N8" i="4"/>
  <c r="M8" i="4"/>
  <c r="M8" i="11"/>
  <c r="K8" i="11"/>
  <c r="R8" i="4"/>
  <c r="A15" i="3"/>
  <c r="AB14" i="3"/>
  <c r="H8" i="11"/>
  <c r="G8" i="11"/>
  <c r="E8" i="11"/>
  <c r="F8" i="11"/>
  <c r="I8" i="11"/>
  <c r="A9" i="11"/>
  <c r="B9" i="3"/>
  <c r="D9" i="4"/>
  <c r="H8" i="4"/>
  <c r="I8" i="4"/>
  <c r="J8" i="4"/>
  <c r="F8" i="4"/>
  <c r="E8" i="4"/>
  <c r="G8" i="4"/>
  <c r="P8" i="4"/>
  <c r="O8" i="4"/>
  <c r="O9" i="11" l="1"/>
  <c r="L9" i="11"/>
  <c r="R9" i="11"/>
  <c r="N9" i="11"/>
  <c r="Q9" i="11"/>
  <c r="J9" i="11"/>
  <c r="K9" i="4"/>
  <c r="L9" i="4"/>
  <c r="M9" i="4"/>
  <c r="N9" i="4"/>
  <c r="M9" i="11"/>
  <c r="K9" i="11"/>
  <c r="R9" i="4"/>
  <c r="I9" i="11"/>
  <c r="H9" i="11"/>
  <c r="G9" i="11"/>
  <c r="E9" i="11"/>
  <c r="F9" i="11"/>
  <c r="A16" i="3"/>
  <c r="AB15" i="3"/>
  <c r="A10" i="11"/>
  <c r="P9" i="4"/>
  <c r="H9" i="4"/>
  <c r="G9" i="4"/>
  <c r="O9" i="4"/>
  <c r="E9" i="4"/>
  <c r="F9" i="4"/>
  <c r="J9" i="4"/>
  <c r="I9" i="4"/>
  <c r="B10" i="3"/>
  <c r="D10" i="4"/>
  <c r="O10" i="11" l="1"/>
  <c r="L10" i="11"/>
  <c r="R10" i="11"/>
  <c r="N10" i="11"/>
  <c r="Q10" i="11"/>
  <c r="J10" i="11"/>
  <c r="K10" i="4"/>
  <c r="L10" i="4"/>
  <c r="N10" i="4"/>
  <c r="M10" i="4"/>
  <c r="M10" i="11"/>
  <c r="K10" i="11"/>
  <c r="R10" i="4"/>
  <c r="A17" i="3"/>
  <c r="AB16" i="3"/>
  <c r="I10" i="11"/>
  <c r="H10" i="11"/>
  <c r="G10" i="11"/>
  <c r="F10" i="11"/>
  <c r="E10" i="11"/>
  <c r="A11" i="11"/>
  <c r="L11" i="11" s="1"/>
  <c r="B11" i="3"/>
  <c r="D11" i="4"/>
  <c r="J10" i="4"/>
  <c r="H10" i="4"/>
  <c r="G10" i="4"/>
  <c r="E10" i="4"/>
  <c r="I10" i="4"/>
  <c r="F10" i="4"/>
  <c r="P10" i="4"/>
  <c r="O10" i="4"/>
  <c r="N11" i="11" l="1"/>
  <c r="O11" i="11"/>
  <c r="R11" i="11"/>
  <c r="J11" i="11"/>
  <c r="K11" i="4"/>
  <c r="L11" i="4"/>
  <c r="Q11" i="11"/>
  <c r="M11" i="4"/>
  <c r="N11" i="4"/>
  <c r="M11" i="11"/>
  <c r="K11" i="11"/>
  <c r="R11" i="4"/>
  <c r="I11" i="11"/>
  <c r="H11" i="11"/>
  <c r="G11" i="11"/>
  <c r="F11" i="11"/>
  <c r="E11" i="11"/>
  <c r="A18" i="3"/>
  <c r="AB17" i="3"/>
  <c r="A12" i="11"/>
  <c r="H11" i="4"/>
  <c r="G11" i="4"/>
  <c r="O11" i="4"/>
  <c r="I11" i="4"/>
  <c r="J11" i="4"/>
  <c r="E11" i="4"/>
  <c r="F11" i="4"/>
  <c r="P11" i="4"/>
  <c r="B12" i="3"/>
  <c r="D12" i="4"/>
  <c r="O12" i="11" l="1"/>
  <c r="L12" i="11"/>
  <c r="R12" i="11"/>
  <c r="N12" i="11"/>
  <c r="Q12" i="11"/>
  <c r="J12" i="11"/>
  <c r="K12" i="4"/>
  <c r="L12" i="4"/>
  <c r="N12" i="4"/>
  <c r="M12" i="4"/>
  <c r="M12" i="11"/>
  <c r="K12" i="11"/>
  <c r="R12" i="4"/>
  <c r="A19" i="3"/>
  <c r="AB18" i="3"/>
  <c r="I12" i="11"/>
  <c r="H12" i="11"/>
  <c r="G12" i="11"/>
  <c r="F12" i="11"/>
  <c r="E12" i="11"/>
  <c r="A13" i="11"/>
  <c r="P12" i="4"/>
  <c r="E12" i="4"/>
  <c r="F12" i="4"/>
  <c r="J12" i="4"/>
  <c r="H12" i="4"/>
  <c r="G12" i="4"/>
  <c r="O12" i="4"/>
  <c r="I12" i="4"/>
  <c r="B13" i="3"/>
  <c r="D13" i="4"/>
  <c r="O13" i="11" l="1"/>
  <c r="L13" i="11"/>
  <c r="R13" i="11"/>
  <c r="N13" i="11"/>
  <c r="Q13" i="11"/>
  <c r="J13" i="11"/>
  <c r="K13" i="4"/>
  <c r="L13" i="4"/>
  <c r="M13" i="4"/>
  <c r="N13" i="4"/>
  <c r="M13" i="11"/>
  <c r="K13" i="11"/>
  <c r="R13" i="4"/>
  <c r="I13" i="11"/>
  <c r="H13" i="11"/>
  <c r="G13" i="11"/>
  <c r="F13" i="11"/>
  <c r="E13" i="11"/>
  <c r="A20" i="3"/>
  <c r="AB19" i="3"/>
  <c r="A14" i="11"/>
  <c r="B14" i="3"/>
  <c r="D14" i="4"/>
  <c r="F13" i="4"/>
  <c r="O13" i="4"/>
  <c r="H13" i="4"/>
  <c r="G13" i="4"/>
  <c r="I13" i="4"/>
  <c r="P13" i="4"/>
  <c r="E13" i="4"/>
  <c r="J13" i="4"/>
  <c r="O14" i="11" l="1"/>
  <c r="L14" i="11"/>
  <c r="R14" i="11"/>
  <c r="N14" i="11"/>
  <c r="K14" i="4"/>
  <c r="L14" i="4"/>
  <c r="Q14" i="11"/>
  <c r="J14" i="11"/>
  <c r="N14" i="4"/>
  <c r="M14" i="4"/>
  <c r="M14" i="11"/>
  <c r="K14" i="11"/>
  <c r="R14" i="4"/>
  <c r="A21" i="3"/>
  <c r="AB20" i="3"/>
  <c r="I14" i="11"/>
  <c r="H14" i="11"/>
  <c r="G14" i="11"/>
  <c r="F14" i="11"/>
  <c r="E14" i="11"/>
  <c r="A15" i="11"/>
  <c r="G14" i="4"/>
  <c r="E14" i="4"/>
  <c r="H14" i="4"/>
  <c r="F14" i="4"/>
  <c r="I14" i="4"/>
  <c r="O14" i="4"/>
  <c r="J14" i="4"/>
  <c r="P14" i="4"/>
  <c r="B15" i="3"/>
  <c r="D15" i="4"/>
  <c r="O15" i="11" l="1"/>
  <c r="L15" i="11"/>
  <c r="R15" i="11"/>
  <c r="N15" i="11"/>
  <c r="K15" i="4"/>
  <c r="L15" i="4"/>
  <c r="Q15" i="11"/>
  <c r="J15" i="11"/>
  <c r="N15" i="4"/>
  <c r="M15" i="4"/>
  <c r="M15" i="11"/>
  <c r="K15" i="11"/>
  <c r="R15" i="4"/>
  <c r="I15" i="11"/>
  <c r="H15" i="11"/>
  <c r="G15" i="11"/>
  <c r="F15" i="11"/>
  <c r="E15" i="11"/>
  <c r="A22" i="3"/>
  <c r="AB21" i="3"/>
  <c r="A16" i="11"/>
  <c r="P15" i="4"/>
  <c r="F15" i="4"/>
  <c r="O15" i="4"/>
  <c r="J15" i="4"/>
  <c r="H15" i="4"/>
  <c r="G15" i="4"/>
  <c r="I15" i="4"/>
  <c r="E15" i="4"/>
  <c r="B16" i="3"/>
  <c r="D16" i="4"/>
  <c r="O16" i="11" l="1"/>
  <c r="L16" i="11"/>
  <c r="R16" i="11"/>
  <c r="N16" i="11"/>
  <c r="K16" i="4"/>
  <c r="L16" i="4"/>
  <c r="Q16" i="11"/>
  <c r="J16" i="11"/>
  <c r="N16" i="4"/>
  <c r="M16" i="4"/>
  <c r="M16" i="11"/>
  <c r="K16" i="11"/>
  <c r="R16" i="4"/>
  <c r="A23" i="3"/>
  <c r="AB22" i="3"/>
  <c r="I16" i="11"/>
  <c r="H16" i="11"/>
  <c r="E16" i="11"/>
  <c r="G16" i="11"/>
  <c r="F16" i="11"/>
  <c r="A17" i="11"/>
  <c r="B17" i="3"/>
  <c r="D17" i="4"/>
  <c r="F16" i="4"/>
  <c r="I16" i="4"/>
  <c r="O16" i="4"/>
  <c r="H16" i="4"/>
  <c r="P16" i="4"/>
  <c r="G16" i="4"/>
  <c r="J16" i="4"/>
  <c r="E16" i="4"/>
  <c r="O17" i="11" l="1"/>
  <c r="L17" i="11"/>
  <c r="R17" i="11"/>
  <c r="N17" i="11"/>
  <c r="K17" i="4"/>
  <c r="L17" i="4"/>
  <c r="Q17" i="11"/>
  <c r="J17" i="11"/>
  <c r="N17" i="4"/>
  <c r="M17" i="4"/>
  <c r="M17" i="11"/>
  <c r="K17" i="11"/>
  <c r="R17" i="4"/>
  <c r="F17" i="11"/>
  <c r="I17" i="11"/>
  <c r="H17" i="11"/>
  <c r="E17" i="11"/>
  <c r="G17" i="11"/>
  <c r="A24" i="3"/>
  <c r="AB23" i="3"/>
  <c r="A18" i="11"/>
  <c r="B18" i="3"/>
  <c r="D18" i="4"/>
  <c r="H17" i="4"/>
  <c r="G17" i="4"/>
  <c r="P17" i="4"/>
  <c r="E17" i="4"/>
  <c r="O17" i="4"/>
  <c r="I17" i="4"/>
  <c r="J17" i="4"/>
  <c r="F17" i="4"/>
  <c r="O18" i="11" l="1"/>
  <c r="L18" i="11"/>
  <c r="R18" i="11"/>
  <c r="N18" i="11"/>
  <c r="K18" i="4"/>
  <c r="L18" i="4"/>
  <c r="Q18" i="11"/>
  <c r="J18" i="11"/>
  <c r="N18" i="4"/>
  <c r="M18" i="4"/>
  <c r="M18" i="11"/>
  <c r="K18" i="11"/>
  <c r="R18" i="4"/>
  <c r="A25" i="3"/>
  <c r="AB24" i="3"/>
  <c r="I18" i="11"/>
  <c r="H18" i="11"/>
  <c r="G18" i="11"/>
  <c r="F18" i="11"/>
  <c r="E18" i="11"/>
  <c r="A19" i="11"/>
  <c r="B19" i="3"/>
  <c r="D19" i="4"/>
  <c r="H18" i="4"/>
  <c r="F18" i="4"/>
  <c r="O18" i="4"/>
  <c r="G18" i="4"/>
  <c r="E18" i="4"/>
  <c r="I18" i="4"/>
  <c r="P18" i="4"/>
  <c r="J18" i="4"/>
  <c r="O19" i="11" l="1"/>
  <c r="L19" i="11"/>
  <c r="R19" i="11"/>
  <c r="N19" i="11"/>
  <c r="K19" i="4"/>
  <c r="L19" i="4"/>
  <c r="Q19" i="11"/>
  <c r="J19" i="11"/>
  <c r="M19" i="4"/>
  <c r="N19" i="4"/>
  <c r="M19" i="11"/>
  <c r="K19" i="11"/>
  <c r="R19" i="4"/>
  <c r="I19" i="11"/>
  <c r="H19" i="11"/>
  <c r="G19" i="11"/>
  <c r="F19" i="11"/>
  <c r="E19" i="11"/>
  <c r="A26" i="3"/>
  <c r="AB25" i="3"/>
  <c r="A20" i="11"/>
  <c r="E19" i="4"/>
  <c r="H19" i="4"/>
  <c r="I19" i="4"/>
  <c r="G19" i="4"/>
  <c r="O19" i="4"/>
  <c r="J19" i="4"/>
  <c r="P19" i="4"/>
  <c r="F19" i="4"/>
  <c r="B20" i="3"/>
  <c r="D20" i="4"/>
  <c r="O20" i="11" l="1"/>
  <c r="L20" i="11"/>
  <c r="R20" i="11"/>
  <c r="N20" i="11"/>
  <c r="K20" i="4"/>
  <c r="L20" i="4"/>
  <c r="Q20" i="11"/>
  <c r="J20" i="11"/>
  <c r="N20" i="4"/>
  <c r="M20" i="4"/>
  <c r="M20" i="11"/>
  <c r="K20" i="11"/>
  <c r="R20" i="4"/>
  <c r="A27" i="3"/>
  <c r="AB26" i="3"/>
  <c r="I20" i="11"/>
  <c r="H20" i="11"/>
  <c r="G20" i="11"/>
  <c r="F20" i="11"/>
  <c r="E20" i="11"/>
  <c r="A21" i="11"/>
  <c r="B21" i="3"/>
  <c r="D21" i="4"/>
  <c r="O20" i="4"/>
  <c r="G20" i="4"/>
  <c r="H20" i="4"/>
  <c r="I20" i="4"/>
  <c r="J20" i="4"/>
  <c r="P20" i="4"/>
  <c r="E20" i="4"/>
  <c r="F20" i="4"/>
  <c r="O21" i="11" l="1"/>
  <c r="L21" i="11"/>
  <c r="R21" i="11"/>
  <c r="N21" i="11"/>
  <c r="K21" i="4"/>
  <c r="L21" i="4"/>
  <c r="Q21" i="11"/>
  <c r="J21" i="11"/>
  <c r="N21" i="4"/>
  <c r="M21" i="4"/>
  <c r="M21" i="11"/>
  <c r="K21" i="11"/>
  <c r="R21" i="4"/>
  <c r="I21" i="11"/>
  <c r="H21" i="11"/>
  <c r="G21" i="11"/>
  <c r="F21" i="11"/>
  <c r="E21" i="11"/>
  <c r="A28" i="3"/>
  <c r="AB27" i="3"/>
  <c r="A22" i="11"/>
  <c r="P21" i="4"/>
  <c r="H21" i="4"/>
  <c r="E21" i="4"/>
  <c r="F21" i="4"/>
  <c r="J21" i="4"/>
  <c r="I21" i="4"/>
  <c r="G21" i="4"/>
  <c r="O21" i="4"/>
  <c r="B22" i="3"/>
  <c r="D22" i="4"/>
  <c r="O22" i="11" l="1"/>
  <c r="L22" i="11"/>
  <c r="R22" i="11"/>
  <c r="N22" i="11"/>
  <c r="K22" i="4"/>
  <c r="L22" i="4"/>
  <c r="Q22" i="11"/>
  <c r="J22" i="11"/>
  <c r="N22" i="4"/>
  <c r="M22" i="4"/>
  <c r="M22" i="11"/>
  <c r="K22" i="11"/>
  <c r="R22" i="4"/>
  <c r="I22" i="11"/>
  <c r="H22" i="11"/>
  <c r="G22" i="11"/>
  <c r="F22" i="11"/>
  <c r="E22" i="11"/>
  <c r="A29" i="3"/>
  <c r="AB28" i="3"/>
  <c r="A23" i="11"/>
  <c r="I22" i="4"/>
  <c r="H22" i="4"/>
  <c r="F22" i="4"/>
  <c r="O22" i="4"/>
  <c r="G22" i="4"/>
  <c r="P22" i="4"/>
  <c r="J22" i="4"/>
  <c r="E22" i="4"/>
  <c r="B23" i="3"/>
  <c r="D23" i="4"/>
  <c r="O23" i="11" l="1"/>
  <c r="L23" i="11"/>
  <c r="R23" i="11"/>
  <c r="N23" i="11"/>
  <c r="K23" i="4"/>
  <c r="L23" i="4"/>
  <c r="Q23" i="11"/>
  <c r="J23" i="11"/>
  <c r="N23" i="4"/>
  <c r="M23" i="4"/>
  <c r="K23" i="11"/>
  <c r="M23" i="11"/>
  <c r="R23" i="4"/>
  <c r="I23" i="11"/>
  <c r="H23" i="11"/>
  <c r="G23" i="11"/>
  <c r="F23" i="11"/>
  <c r="E23" i="11"/>
  <c r="A30" i="3"/>
  <c r="AB29" i="3"/>
  <c r="A24" i="11"/>
  <c r="P23" i="4"/>
  <c r="E23" i="4"/>
  <c r="J23" i="4"/>
  <c r="F23" i="4"/>
  <c r="O23" i="4"/>
  <c r="H23" i="4"/>
  <c r="I23" i="4"/>
  <c r="G23" i="4"/>
  <c r="B24" i="3"/>
  <c r="D24" i="4"/>
  <c r="O24" i="11" l="1"/>
  <c r="L24" i="11"/>
  <c r="R24" i="11"/>
  <c r="N24" i="11"/>
  <c r="K24" i="4"/>
  <c r="L24" i="4"/>
  <c r="Q24" i="11"/>
  <c r="J24" i="11"/>
  <c r="M24" i="4"/>
  <c r="N24" i="4"/>
  <c r="M24" i="11"/>
  <c r="K24" i="11"/>
  <c r="R24" i="4"/>
  <c r="F24" i="11"/>
  <c r="I24" i="11"/>
  <c r="E24" i="11"/>
  <c r="H24" i="11"/>
  <c r="G24" i="11"/>
  <c r="A31" i="3"/>
  <c r="AB30" i="3"/>
  <c r="A25" i="11"/>
  <c r="B25" i="3"/>
  <c r="D25" i="4"/>
  <c r="O24" i="4"/>
  <c r="J24" i="4"/>
  <c r="E24" i="4"/>
  <c r="P24" i="4"/>
  <c r="F24" i="4"/>
  <c r="H24" i="4"/>
  <c r="G24" i="4"/>
  <c r="I24" i="4"/>
  <c r="O25" i="11" l="1"/>
  <c r="L25" i="11"/>
  <c r="R25" i="11"/>
  <c r="N25" i="11"/>
  <c r="K25" i="4"/>
  <c r="L25" i="4"/>
  <c r="Q25" i="11"/>
  <c r="J25" i="11"/>
  <c r="M25" i="4"/>
  <c r="N25" i="4"/>
  <c r="M25" i="11"/>
  <c r="K25" i="11"/>
  <c r="R25" i="4"/>
  <c r="A32" i="3"/>
  <c r="AB31" i="3"/>
  <c r="G25" i="11"/>
  <c r="F25" i="11"/>
  <c r="I25" i="11"/>
  <c r="E25" i="11"/>
  <c r="H25" i="11"/>
  <c r="A26" i="11"/>
  <c r="B26" i="3"/>
  <c r="D26" i="4"/>
  <c r="J25" i="4"/>
  <c r="F25" i="4"/>
  <c r="H25" i="4"/>
  <c r="P25" i="4"/>
  <c r="I25" i="4"/>
  <c r="G25" i="4"/>
  <c r="O25" i="4"/>
  <c r="E25" i="4"/>
  <c r="O26" i="11" l="1"/>
  <c r="L26" i="11"/>
  <c r="R26" i="11"/>
  <c r="N26" i="11"/>
  <c r="Q26" i="11"/>
  <c r="J26" i="11"/>
  <c r="K26" i="4"/>
  <c r="L26" i="4"/>
  <c r="N26" i="4"/>
  <c r="M26" i="4"/>
  <c r="M26" i="11"/>
  <c r="K26" i="11"/>
  <c r="R26" i="4"/>
  <c r="I26" i="11"/>
  <c r="H26" i="11"/>
  <c r="G26" i="11"/>
  <c r="F26" i="11"/>
  <c r="E26" i="11"/>
  <c r="A33" i="3"/>
  <c r="AB32" i="3"/>
  <c r="A27" i="11"/>
  <c r="B27" i="3"/>
  <c r="D27" i="4"/>
  <c r="H26" i="4"/>
  <c r="I26" i="4"/>
  <c r="O26" i="4"/>
  <c r="G26" i="4"/>
  <c r="P26" i="4"/>
  <c r="F26" i="4"/>
  <c r="J26" i="4"/>
  <c r="E26" i="4"/>
  <c r="O27" i="11" l="1"/>
  <c r="L27" i="11"/>
  <c r="R27" i="11"/>
  <c r="N27" i="11"/>
  <c r="K27" i="4"/>
  <c r="L27" i="4"/>
  <c r="Q27" i="11"/>
  <c r="J27" i="11"/>
  <c r="M27" i="4"/>
  <c r="N27" i="4"/>
  <c r="M27" i="11"/>
  <c r="K27" i="11"/>
  <c r="R27" i="4"/>
  <c r="A34" i="3"/>
  <c r="AB33" i="3"/>
  <c r="I27" i="11"/>
  <c r="H27" i="11"/>
  <c r="G27" i="11"/>
  <c r="F27" i="11"/>
  <c r="E27" i="11"/>
  <c r="A28" i="11"/>
  <c r="B28" i="3"/>
  <c r="D28" i="4"/>
  <c r="H27" i="4"/>
  <c r="G27" i="4"/>
  <c r="O27" i="4"/>
  <c r="J27" i="4"/>
  <c r="I27" i="4"/>
  <c r="P27" i="4"/>
  <c r="E27" i="4"/>
  <c r="F27" i="4"/>
  <c r="O28" i="11" l="1"/>
  <c r="L28" i="11"/>
  <c r="R28" i="11"/>
  <c r="N28" i="11"/>
  <c r="K28" i="4"/>
  <c r="L28" i="4"/>
  <c r="Q28" i="11"/>
  <c r="J28" i="11"/>
  <c r="N28" i="4"/>
  <c r="M28" i="4"/>
  <c r="M28" i="11"/>
  <c r="K28" i="11"/>
  <c r="R28" i="4"/>
  <c r="I28" i="11"/>
  <c r="H28" i="11"/>
  <c r="G28" i="11"/>
  <c r="F28" i="11"/>
  <c r="E28" i="11"/>
  <c r="A35" i="3"/>
  <c r="AB34" i="3"/>
  <c r="A29" i="11"/>
  <c r="I28" i="4"/>
  <c r="H28" i="4"/>
  <c r="O28" i="4"/>
  <c r="P28" i="4"/>
  <c r="G28" i="4"/>
  <c r="J28" i="4"/>
  <c r="E28" i="4"/>
  <c r="F28" i="4"/>
  <c r="B29" i="3"/>
  <c r="D29" i="4"/>
  <c r="O29" i="11" l="1"/>
  <c r="L29" i="11"/>
  <c r="R29" i="11"/>
  <c r="N29" i="11"/>
  <c r="K29" i="4"/>
  <c r="L29" i="4"/>
  <c r="Q29" i="11"/>
  <c r="J29" i="11"/>
  <c r="M29" i="4"/>
  <c r="N29" i="4"/>
  <c r="M29" i="11"/>
  <c r="K29" i="11"/>
  <c r="R29" i="4"/>
  <c r="I29" i="11"/>
  <c r="H29" i="11"/>
  <c r="G29" i="11"/>
  <c r="F29" i="11"/>
  <c r="E29" i="11"/>
  <c r="A36" i="3"/>
  <c r="AB35" i="3"/>
  <c r="A30" i="11"/>
  <c r="B30" i="3"/>
  <c r="D30" i="4"/>
  <c r="H29" i="4"/>
  <c r="I29" i="4"/>
  <c r="P29" i="4"/>
  <c r="O29" i="4"/>
  <c r="G29" i="4"/>
  <c r="F29" i="4"/>
  <c r="J29" i="4"/>
  <c r="E29" i="4"/>
  <c r="O30" i="11" l="1"/>
  <c r="L30" i="11"/>
  <c r="R30" i="11"/>
  <c r="N30" i="11"/>
  <c r="K30" i="4"/>
  <c r="L30" i="4"/>
  <c r="Q30" i="11"/>
  <c r="J30" i="11"/>
  <c r="M30" i="4"/>
  <c r="N30" i="4"/>
  <c r="M30" i="11"/>
  <c r="K30" i="11"/>
  <c r="R30" i="4"/>
  <c r="I30" i="11"/>
  <c r="H30" i="11"/>
  <c r="G30" i="11"/>
  <c r="F30" i="11"/>
  <c r="E30" i="11"/>
  <c r="A37" i="3"/>
  <c r="AB36" i="3"/>
  <c r="A31" i="11"/>
  <c r="I30" i="4"/>
  <c r="E30" i="4"/>
  <c r="H30" i="4"/>
  <c r="G30" i="4"/>
  <c r="F30" i="4"/>
  <c r="J30" i="4"/>
  <c r="O30" i="4"/>
  <c r="P30" i="4"/>
  <c r="B31" i="3"/>
  <c r="D31" i="4"/>
  <c r="O31" i="11" l="1"/>
  <c r="L31" i="11"/>
  <c r="R31" i="11"/>
  <c r="N31" i="11"/>
  <c r="K31" i="4"/>
  <c r="L31" i="4"/>
  <c r="Q31" i="11"/>
  <c r="J31" i="11"/>
  <c r="N31" i="4"/>
  <c r="M31" i="4"/>
  <c r="M31" i="11"/>
  <c r="K31" i="11"/>
  <c r="R31" i="4"/>
  <c r="A38" i="3"/>
  <c r="AB37" i="3"/>
  <c r="I31" i="11"/>
  <c r="H31" i="11"/>
  <c r="G31" i="11"/>
  <c r="F31" i="11"/>
  <c r="E31" i="11"/>
  <c r="A32" i="11"/>
  <c r="B32" i="3"/>
  <c r="D32" i="4"/>
  <c r="P31" i="4"/>
  <c r="J31" i="4"/>
  <c r="H31" i="4"/>
  <c r="E31" i="4"/>
  <c r="G31" i="4"/>
  <c r="F31" i="4"/>
  <c r="I31" i="4"/>
  <c r="O31" i="4"/>
  <c r="O32" i="11" l="1"/>
  <c r="L32" i="11"/>
  <c r="R32" i="11"/>
  <c r="N32" i="11"/>
  <c r="K32" i="4"/>
  <c r="L32" i="4"/>
  <c r="Q32" i="11"/>
  <c r="J32" i="11"/>
  <c r="N32" i="4"/>
  <c r="M32" i="4"/>
  <c r="M32" i="11"/>
  <c r="K32" i="11"/>
  <c r="R32" i="4"/>
  <c r="G32" i="11"/>
  <c r="F32" i="11"/>
  <c r="E32" i="11"/>
  <c r="I32" i="11"/>
  <c r="H32" i="11"/>
  <c r="A39" i="3"/>
  <c r="AB38" i="3"/>
  <c r="A33" i="11"/>
  <c r="B33" i="3"/>
  <c r="D33" i="4"/>
  <c r="P32" i="4"/>
  <c r="F32" i="4"/>
  <c r="J32" i="4"/>
  <c r="H32" i="4"/>
  <c r="I32" i="4"/>
  <c r="O32" i="4"/>
  <c r="E32" i="4"/>
  <c r="G32" i="4"/>
  <c r="O33" i="11" l="1"/>
  <c r="L33" i="11"/>
  <c r="R33" i="11"/>
  <c r="N33" i="11"/>
  <c r="K33" i="4"/>
  <c r="L33" i="4"/>
  <c r="Q33" i="11"/>
  <c r="J33" i="11"/>
  <c r="N33" i="4"/>
  <c r="M33" i="4"/>
  <c r="M33" i="11"/>
  <c r="K33" i="11"/>
  <c r="R33" i="4"/>
  <c r="A40" i="3"/>
  <c r="AB39" i="3"/>
  <c r="H33" i="11"/>
  <c r="G33" i="11"/>
  <c r="F33" i="11"/>
  <c r="E33" i="11"/>
  <c r="I33" i="11"/>
  <c r="A34" i="11"/>
  <c r="B34" i="3"/>
  <c r="D34" i="4"/>
  <c r="I33" i="4"/>
  <c r="O33" i="4"/>
  <c r="E33" i="4"/>
  <c r="P33" i="4"/>
  <c r="F33" i="4"/>
  <c r="J33" i="4"/>
  <c r="H33" i="4"/>
  <c r="G33" i="4"/>
  <c r="O34" i="11" l="1"/>
  <c r="L34" i="11"/>
  <c r="R34" i="11"/>
  <c r="N34" i="11"/>
  <c r="Q34" i="11"/>
  <c r="J34" i="11"/>
  <c r="K34" i="4"/>
  <c r="L34" i="4"/>
  <c r="N34" i="4"/>
  <c r="M34" i="4"/>
  <c r="M34" i="11"/>
  <c r="K34" i="11"/>
  <c r="R34" i="4"/>
  <c r="I34" i="11"/>
  <c r="H34" i="11"/>
  <c r="G34" i="11"/>
  <c r="F34" i="11"/>
  <c r="E34" i="11"/>
  <c r="A41" i="3"/>
  <c r="AB40" i="3"/>
  <c r="A35" i="11"/>
  <c r="O34" i="4"/>
  <c r="E34" i="4"/>
  <c r="I34" i="4"/>
  <c r="F34" i="4"/>
  <c r="P34" i="4"/>
  <c r="J34" i="4"/>
  <c r="H34" i="4"/>
  <c r="G34" i="4"/>
  <c r="B35" i="3"/>
  <c r="D35" i="4"/>
  <c r="O35" i="11" l="1"/>
  <c r="L35" i="11"/>
  <c r="R35" i="11"/>
  <c r="N35" i="11"/>
  <c r="K35" i="4"/>
  <c r="L35" i="4"/>
  <c r="Q35" i="11"/>
  <c r="J35" i="11"/>
  <c r="N35" i="4"/>
  <c r="M35" i="4"/>
  <c r="M35" i="11"/>
  <c r="K35" i="11"/>
  <c r="R35" i="4"/>
  <c r="A42" i="3"/>
  <c r="AB41" i="3"/>
  <c r="I35" i="11"/>
  <c r="H35" i="11"/>
  <c r="G35" i="11"/>
  <c r="F35" i="11"/>
  <c r="E35" i="11"/>
  <c r="A36" i="11"/>
  <c r="F35" i="4"/>
  <c r="J35" i="4"/>
  <c r="P35" i="4"/>
  <c r="E35" i="4"/>
  <c r="I35" i="4"/>
  <c r="G35" i="4"/>
  <c r="O35" i="4"/>
  <c r="H35" i="4"/>
  <c r="B36" i="3"/>
  <c r="D36" i="4"/>
  <c r="O36" i="11" l="1"/>
  <c r="L36" i="11"/>
  <c r="R36" i="11"/>
  <c r="N36" i="11"/>
  <c r="K36" i="4"/>
  <c r="L36" i="4"/>
  <c r="Q36" i="11"/>
  <c r="J36" i="11"/>
  <c r="N36" i="4"/>
  <c r="M36" i="4"/>
  <c r="M36" i="11"/>
  <c r="K36" i="11"/>
  <c r="R36" i="4"/>
  <c r="I36" i="11"/>
  <c r="H36" i="11"/>
  <c r="G36" i="11"/>
  <c r="F36" i="11"/>
  <c r="E36" i="11"/>
  <c r="A43" i="3"/>
  <c r="AB42" i="3"/>
  <c r="A37" i="11"/>
  <c r="B37" i="3"/>
  <c r="D37" i="4"/>
  <c r="H36" i="4"/>
  <c r="I36" i="4"/>
  <c r="F36" i="4"/>
  <c r="G36" i="4"/>
  <c r="E36" i="4"/>
  <c r="J36" i="4"/>
  <c r="P36" i="4"/>
  <c r="O36" i="4"/>
  <c r="O37" i="11" l="1"/>
  <c r="L37" i="11"/>
  <c r="R37" i="11"/>
  <c r="N37" i="11"/>
  <c r="K37" i="4"/>
  <c r="L37" i="4"/>
  <c r="Q37" i="11"/>
  <c r="J37" i="11"/>
  <c r="M37" i="4"/>
  <c r="N37" i="4"/>
  <c r="M37" i="11"/>
  <c r="K37" i="11"/>
  <c r="R37" i="4"/>
  <c r="I37" i="11"/>
  <c r="H37" i="11"/>
  <c r="G37" i="11"/>
  <c r="F37" i="11"/>
  <c r="E37" i="11"/>
  <c r="A44" i="3"/>
  <c r="AB43" i="3"/>
  <c r="A38" i="11"/>
  <c r="B38" i="3"/>
  <c r="D38" i="4"/>
  <c r="O37" i="4"/>
  <c r="H37" i="4"/>
  <c r="F37" i="4"/>
  <c r="I37" i="4"/>
  <c r="G37" i="4"/>
  <c r="P37" i="4"/>
  <c r="J37" i="4"/>
  <c r="E37" i="4"/>
  <c r="O38" i="11" l="1"/>
  <c r="L38" i="11"/>
  <c r="R38" i="11"/>
  <c r="N38" i="11"/>
  <c r="K38" i="4"/>
  <c r="L38" i="4"/>
  <c r="Q38" i="11"/>
  <c r="J38" i="11"/>
  <c r="M38" i="4"/>
  <c r="N38" i="4"/>
  <c r="M38" i="11"/>
  <c r="K38" i="11"/>
  <c r="R38" i="4"/>
  <c r="A45" i="3"/>
  <c r="AB44" i="3"/>
  <c r="I38" i="11"/>
  <c r="H38" i="11"/>
  <c r="G38" i="11"/>
  <c r="F38" i="11"/>
  <c r="E38" i="11"/>
  <c r="A39" i="11"/>
  <c r="F38" i="4"/>
  <c r="O38" i="4"/>
  <c r="I38" i="4"/>
  <c r="H38" i="4"/>
  <c r="P38" i="4"/>
  <c r="G38" i="4"/>
  <c r="J38" i="4"/>
  <c r="E38" i="4"/>
  <c r="B39" i="3"/>
  <c r="D39" i="4"/>
  <c r="O39" i="11" l="1"/>
  <c r="L39" i="11"/>
  <c r="R39" i="11"/>
  <c r="N39" i="11"/>
  <c r="Q39" i="11"/>
  <c r="J39" i="11"/>
  <c r="K39" i="4"/>
  <c r="L39" i="4"/>
  <c r="M39" i="4"/>
  <c r="N39" i="4"/>
  <c r="M39" i="11"/>
  <c r="K39" i="11"/>
  <c r="R39" i="4"/>
  <c r="I39" i="11"/>
  <c r="H39" i="11"/>
  <c r="G39" i="11"/>
  <c r="F39" i="11"/>
  <c r="E39" i="11"/>
  <c r="A46" i="3"/>
  <c r="AB45" i="3"/>
  <c r="A40" i="11"/>
  <c r="B40" i="3"/>
  <c r="D40" i="4"/>
  <c r="O39" i="4"/>
  <c r="P39" i="4"/>
  <c r="E39" i="4"/>
  <c r="J39" i="4"/>
  <c r="F39" i="4"/>
  <c r="G39" i="4"/>
  <c r="I39" i="4"/>
  <c r="H39" i="4"/>
  <c r="O40" i="11" l="1"/>
  <c r="L40" i="11"/>
  <c r="R40" i="11"/>
  <c r="N40" i="11"/>
  <c r="K40" i="4"/>
  <c r="L40" i="4"/>
  <c r="Q40" i="11"/>
  <c r="J40" i="11"/>
  <c r="M40" i="4"/>
  <c r="N40" i="4"/>
  <c r="M40" i="11"/>
  <c r="K40" i="11"/>
  <c r="R40" i="4"/>
  <c r="A47" i="3"/>
  <c r="AB46" i="3"/>
  <c r="H40" i="11"/>
  <c r="G40" i="11"/>
  <c r="E40" i="11"/>
  <c r="F40" i="11"/>
  <c r="I40" i="11"/>
  <c r="A41" i="11"/>
  <c r="H40" i="4"/>
  <c r="F40" i="4"/>
  <c r="G40" i="4"/>
  <c r="O40" i="4"/>
  <c r="E40" i="4"/>
  <c r="I40" i="4"/>
  <c r="J40" i="4"/>
  <c r="P40" i="4"/>
  <c r="B41" i="3"/>
  <c r="D41" i="4"/>
  <c r="O41" i="11" l="1"/>
  <c r="L41" i="11"/>
  <c r="R41" i="11"/>
  <c r="N41" i="11"/>
  <c r="K41" i="4"/>
  <c r="L41" i="4"/>
  <c r="Q41" i="11"/>
  <c r="J41" i="11"/>
  <c r="N41" i="4"/>
  <c r="M41" i="4"/>
  <c r="M41" i="11"/>
  <c r="K41" i="11"/>
  <c r="R41" i="4"/>
  <c r="I41" i="11"/>
  <c r="H41" i="11"/>
  <c r="G41" i="11"/>
  <c r="E41" i="11"/>
  <c r="F41" i="11"/>
  <c r="A48" i="3"/>
  <c r="AB47" i="3"/>
  <c r="A42" i="11"/>
  <c r="B42" i="3"/>
  <c r="D42" i="4"/>
  <c r="P41" i="4"/>
  <c r="J41" i="4"/>
  <c r="H41" i="4"/>
  <c r="O41" i="4"/>
  <c r="E41" i="4"/>
  <c r="G41" i="4"/>
  <c r="F41" i="4"/>
  <c r="I41" i="4"/>
  <c r="O42" i="11" l="1"/>
  <c r="L42" i="11"/>
  <c r="R42" i="11"/>
  <c r="N42" i="11"/>
  <c r="K42" i="4"/>
  <c r="L42" i="4"/>
  <c r="Q42" i="11"/>
  <c r="J42" i="11"/>
  <c r="N42" i="4"/>
  <c r="M42" i="4"/>
  <c r="M42" i="11"/>
  <c r="K42" i="11"/>
  <c r="R42" i="4"/>
  <c r="I42" i="11"/>
  <c r="H42" i="11"/>
  <c r="G42" i="11"/>
  <c r="F42" i="11"/>
  <c r="E42" i="11"/>
  <c r="A49" i="3"/>
  <c r="AB48" i="3"/>
  <c r="A43" i="11"/>
  <c r="B43" i="3"/>
  <c r="D43" i="4"/>
  <c r="J42" i="4"/>
  <c r="P42" i="4"/>
  <c r="G42" i="4"/>
  <c r="E42" i="4"/>
  <c r="F42" i="4"/>
  <c r="O42" i="4"/>
  <c r="I42" i="4"/>
  <c r="H42" i="4"/>
  <c r="O43" i="11" l="1"/>
  <c r="L43" i="11"/>
  <c r="R43" i="11"/>
  <c r="N43" i="11"/>
  <c r="K43" i="4"/>
  <c r="L43" i="4"/>
  <c r="Q43" i="11"/>
  <c r="J43" i="11"/>
  <c r="N43" i="4"/>
  <c r="M43" i="4"/>
  <c r="M43" i="11"/>
  <c r="K43" i="11"/>
  <c r="R43" i="4"/>
  <c r="I43" i="11"/>
  <c r="H43" i="11"/>
  <c r="G43" i="11"/>
  <c r="F43" i="11"/>
  <c r="E43" i="11"/>
  <c r="A50" i="3"/>
  <c r="AB49" i="3"/>
  <c r="A44" i="11"/>
  <c r="H43" i="4"/>
  <c r="O43" i="4"/>
  <c r="G43" i="4"/>
  <c r="I43" i="4"/>
  <c r="J43" i="4"/>
  <c r="E43" i="4"/>
  <c r="P43" i="4"/>
  <c r="F43" i="4"/>
  <c r="B44" i="3"/>
  <c r="D44" i="4"/>
  <c r="O44" i="11" l="1"/>
  <c r="L44" i="11"/>
  <c r="R44" i="11"/>
  <c r="N44" i="11"/>
  <c r="K44" i="4"/>
  <c r="L44" i="4"/>
  <c r="Q44" i="11"/>
  <c r="J44" i="11"/>
  <c r="M44" i="4"/>
  <c r="N44" i="4"/>
  <c r="M44" i="11"/>
  <c r="K44" i="11"/>
  <c r="R44" i="4"/>
  <c r="I44" i="11"/>
  <c r="H44" i="11"/>
  <c r="G44" i="11"/>
  <c r="F44" i="11"/>
  <c r="E44" i="11"/>
  <c r="A51" i="3"/>
  <c r="AB50" i="3"/>
  <c r="A45" i="11"/>
  <c r="B45" i="3"/>
  <c r="D45" i="4"/>
  <c r="G44" i="4"/>
  <c r="E44" i="4"/>
  <c r="O44" i="4"/>
  <c r="H44" i="4"/>
  <c r="I44" i="4"/>
  <c r="F44" i="4"/>
  <c r="P44" i="4"/>
  <c r="J44" i="4"/>
  <c r="O45" i="11" l="1"/>
  <c r="L45" i="11"/>
  <c r="R45" i="11"/>
  <c r="N45" i="11"/>
  <c r="K45" i="4"/>
  <c r="L45" i="4"/>
  <c r="Q45" i="11"/>
  <c r="J45" i="11"/>
  <c r="N45" i="4"/>
  <c r="M45" i="4"/>
  <c r="M45" i="11"/>
  <c r="K45" i="11"/>
  <c r="R45" i="4"/>
  <c r="A52" i="3"/>
  <c r="AB51" i="3"/>
  <c r="I45" i="11"/>
  <c r="H45" i="11"/>
  <c r="G45" i="11"/>
  <c r="F45" i="11"/>
  <c r="E45" i="11"/>
  <c r="A46" i="11"/>
  <c r="B46" i="3"/>
  <c r="D46" i="4"/>
  <c r="H45" i="4"/>
  <c r="F45" i="4"/>
  <c r="G45" i="4"/>
  <c r="I45" i="4"/>
  <c r="E45" i="4"/>
  <c r="J45" i="4"/>
  <c r="P45" i="4"/>
  <c r="O45" i="4"/>
  <c r="O46" i="11" l="1"/>
  <c r="L46" i="11"/>
  <c r="R46" i="11"/>
  <c r="N46" i="11"/>
  <c r="K46" i="4"/>
  <c r="L46" i="4"/>
  <c r="Q46" i="11"/>
  <c r="J46" i="11"/>
  <c r="M46" i="4"/>
  <c r="N46" i="4"/>
  <c r="M46" i="11"/>
  <c r="K46" i="11"/>
  <c r="R46" i="4"/>
  <c r="I46" i="11"/>
  <c r="H46" i="11"/>
  <c r="G46" i="11"/>
  <c r="F46" i="11"/>
  <c r="E46" i="11"/>
  <c r="A53" i="3"/>
  <c r="AB52" i="3"/>
  <c r="A47" i="11"/>
  <c r="F46" i="4"/>
  <c r="E46" i="4"/>
  <c r="P46" i="4"/>
  <c r="H46" i="4"/>
  <c r="O46" i="4"/>
  <c r="G46" i="4"/>
  <c r="I46" i="4"/>
  <c r="J46" i="4"/>
  <c r="B47" i="3"/>
  <c r="D47" i="4"/>
  <c r="O47" i="11" l="1"/>
  <c r="L47" i="11"/>
  <c r="R47" i="11"/>
  <c r="N47" i="11"/>
  <c r="K47" i="4"/>
  <c r="L47" i="4"/>
  <c r="Q47" i="11"/>
  <c r="J47" i="11"/>
  <c r="M47" i="4"/>
  <c r="N47" i="4"/>
  <c r="K47" i="11"/>
  <c r="M47" i="11"/>
  <c r="R47" i="4"/>
  <c r="I47" i="11"/>
  <c r="H47" i="11"/>
  <c r="G47" i="11"/>
  <c r="F47" i="11"/>
  <c r="E47" i="11"/>
  <c r="A54" i="3"/>
  <c r="AB53" i="3"/>
  <c r="A48" i="11"/>
  <c r="B48" i="3"/>
  <c r="D48" i="4"/>
  <c r="I47" i="4"/>
  <c r="E47" i="4"/>
  <c r="F47" i="4"/>
  <c r="H47" i="4"/>
  <c r="O47" i="4"/>
  <c r="P47" i="4"/>
  <c r="J47" i="4"/>
  <c r="G47" i="4"/>
  <c r="O48" i="11" l="1"/>
  <c r="L48" i="11"/>
  <c r="R48" i="11"/>
  <c r="N48" i="11"/>
  <c r="K48" i="4"/>
  <c r="L48" i="4"/>
  <c r="Q48" i="11"/>
  <c r="J48" i="11"/>
  <c r="N48" i="4"/>
  <c r="M48" i="4"/>
  <c r="M48" i="11"/>
  <c r="K48" i="11"/>
  <c r="R48" i="4"/>
  <c r="A55" i="3"/>
  <c r="AB54" i="3"/>
  <c r="I48" i="11"/>
  <c r="H48" i="11"/>
  <c r="E48" i="11"/>
  <c r="G48" i="11"/>
  <c r="F48" i="11"/>
  <c r="A49" i="11"/>
  <c r="E48" i="4"/>
  <c r="J48" i="4"/>
  <c r="F48" i="4"/>
  <c r="H48" i="4"/>
  <c r="I48" i="4"/>
  <c r="O48" i="4"/>
  <c r="P48" i="4"/>
  <c r="G48" i="4"/>
  <c r="B49" i="3"/>
  <c r="D49" i="4"/>
  <c r="O49" i="11" l="1"/>
  <c r="L49" i="11"/>
  <c r="R49" i="11"/>
  <c r="N49" i="11"/>
  <c r="K49" i="4"/>
  <c r="L49" i="4"/>
  <c r="Q49" i="11"/>
  <c r="J49" i="11"/>
  <c r="N49" i="4"/>
  <c r="M49" i="4"/>
  <c r="M49" i="11"/>
  <c r="K49" i="11"/>
  <c r="R49" i="4"/>
  <c r="F49" i="11"/>
  <c r="I49" i="11"/>
  <c r="H49" i="11"/>
  <c r="E49" i="11"/>
  <c r="G49" i="11"/>
  <c r="A56" i="3"/>
  <c r="AB55" i="3"/>
  <c r="A50" i="11"/>
  <c r="F49" i="4"/>
  <c r="J49" i="4"/>
  <c r="O49" i="4"/>
  <c r="H49" i="4"/>
  <c r="G49" i="4"/>
  <c r="E49" i="4"/>
  <c r="I49" i="4"/>
  <c r="P49" i="4"/>
  <c r="B50" i="3"/>
  <c r="D50" i="4"/>
  <c r="O50" i="11" l="1"/>
  <c r="L50" i="11"/>
  <c r="R50" i="11"/>
  <c r="N50" i="11"/>
  <c r="K50" i="4"/>
  <c r="L50" i="4"/>
  <c r="Q50" i="11"/>
  <c r="J50" i="11"/>
  <c r="M50" i="4"/>
  <c r="N50" i="4"/>
  <c r="M50" i="11"/>
  <c r="K50" i="11"/>
  <c r="R50" i="4"/>
  <c r="I50" i="11"/>
  <c r="H50" i="11"/>
  <c r="G50" i="11"/>
  <c r="F50" i="11"/>
  <c r="E50" i="11"/>
  <c r="A57" i="3"/>
  <c r="AB56" i="3"/>
  <c r="A51" i="11"/>
  <c r="H50" i="4"/>
  <c r="G50" i="4"/>
  <c r="I50" i="4"/>
  <c r="F50" i="4"/>
  <c r="O50" i="4"/>
  <c r="J50" i="4"/>
  <c r="P50" i="4"/>
  <c r="E50" i="4"/>
  <c r="B51" i="3"/>
  <c r="D51" i="4"/>
  <c r="O51" i="11" l="1"/>
  <c r="L51" i="11"/>
  <c r="R51" i="11"/>
  <c r="N51" i="11"/>
  <c r="K51" i="4"/>
  <c r="L51" i="4"/>
  <c r="Q51" i="11"/>
  <c r="J51" i="11"/>
  <c r="N51" i="4"/>
  <c r="M51" i="4"/>
  <c r="M51" i="11"/>
  <c r="K51" i="11"/>
  <c r="R51" i="4"/>
  <c r="A58" i="3"/>
  <c r="AB57" i="3"/>
  <c r="I51" i="11"/>
  <c r="H51" i="11"/>
  <c r="G51" i="11"/>
  <c r="F51" i="11"/>
  <c r="E51" i="11"/>
  <c r="A52" i="11"/>
  <c r="H51" i="4"/>
  <c r="G51" i="4"/>
  <c r="O51" i="4"/>
  <c r="I51" i="4"/>
  <c r="J51" i="4"/>
  <c r="P51" i="4"/>
  <c r="E51" i="4"/>
  <c r="F51" i="4"/>
  <c r="B52" i="3"/>
  <c r="D52" i="4"/>
  <c r="O52" i="11" l="1"/>
  <c r="L52" i="11"/>
  <c r="R52" i="11"/>
  <c r="N52" i="11"/>
  <c r="K52" i="4"/>
  <c r="L52" i="4"/>
  <c r="Q52" i="11"/>
  <c r="J52" i="11"/>
  <c r="M52" i="4"/>
  <c r="N52" i="4"/>
  <c r="M52" i="11"/>
  <c r="K52" i="11"/>
  <c r="R52" i="4"/>
  <c r="I52" i="11"/>
  <c r="H52" i="11"/>
  <c r="G52" i="11"/>
  <c r="F52" i="11"/>
  <c r="E52" i="11"/>
  <c r="A59" i="3"/>
  <c r="AB58" i="3"/>
  <c r="A53" i="11"/>
  <c r="I52" i="4"/>
  <c r="O52" i="4"/>
  <c r="E52" i="4"/>
  <c r="H52" i="4"/>
  <c r="G52" i="4"/>
  <c r="P52" i="4"/>
  <c r="F52" i="4"/>
  <c r="J52" i="4"/>
  <c r="B53" i="3"/>
  <c r="D53" i="4"/>
  <c r="O53" i="11" l="1"/>
  <c r="L53" i="11"/>
  <c r="R53" i="11"/>
  <c r="N53" i="11"/>
  <c r="K53" i="4"/>
  <c r="L53" i="4"/>
  <c r="Q53" i="11"/>
  <c r="J53" i="11"/>
  <c r="N53" i="4"/>
  <c r="M53" i="4"/>
  <c r="M53" i="11"/>
  <c r="K53" i="11"/>
  <c r="R53" i="4"/>
  <c r="I53" i="11"/>
  <c r="H53" i="11"/>
  <c r="G53" i="11"/>
  <c r="F53" i="11"/>
  <c r="E53" i="11"/>
  <c r="A60" i="3"/>
  <c r="AB59" i="3"/>
  <c r="A54" i="11"/>
  <c r="O53" i="4"/>
  <c r="G53" i="4"/>
  <c r="P53" i="4"/>
  <c r="E53" i="4"/>
  <c r="J53" i="4"/>
  <c r="F53" i="4"/>
  <c r="I53" i="4"/>
  <c r="H53" i="4"/>
  <c r="B54" i="3"/>
  <c r="D54" i="4"/>
  <c r="O54" i="11" l="1"/>
  <c r="L54" i="11"/>
  <c r="R54" i="11"/>
  <c r="N54" i="11"/>
  <c r="K54" i="4"/>
  <c r="L54" i="4"/>
  <c r="Q54" i="11"/>
  <c r="J54" i="11"/>
  <c r="M54" i="4"/>
  <c r="N54" i="4"/>
  <c r="M54" i="11"/>
  <c r="K54" i="11"/>
  <c r="R54" i="4"/>
  <c r="I54" i="11"/>
  <c r="H54" i="11"/>
  <c r="G54" i="11"/>
  <c r="F54" i="11"/>
  <c r="E54" i="11"/>
  <c r="A61" i="3"/>
  <c r="AB60" i="3"/>
  <c r="A55" i="11"/>
  <c r="B55" i="3"/>
  <c r="D55" i="4"/>
  <c r="I54" i="4"/>
  <c r="G54" i="4"/>
  <c r="O54" i="4"/>
  <c r="P54" i="4"/>
  <c r="F54" i="4"/>
  <c r="E54" i="4"/>
  <c r="J54" i="4"/>
  <c r="H54" i="4"/>
  <c r="O55" i="11" l="1"/>
  <c r="L55" i="11"/>
  <c r="R55" i="11"/>
  <c r="N55" i="11"/>
  <c r="K55" i="4"/>
  <c r="L55" i="4"/>
  <c r="Q55" i="11"/>
  <c r="J55" i="11"/>
  <c r="M55" i="4"/>
  <c r="N55" i="4"/>
  <c r="K55" i="11"/>
  <c r="M55" i="11"/>
  <c r="R55" i="4"/>
  <c r="I55" i="11"/>
  <c r="H55" i="11"/>
  <c r="G55" i="11"/>
  <c r="F55" i="11"/>
  <c r="E55" i="11"/>
  <c r="A62" i="3"/>
  <c r="AB61" i="3"/>
  <c r="A56" i="11"/>
  <c r="G55" i="4"/>
  <c r="H55" i="4"/>
  <c r="I55" i="4"/>
  <c r="O55" i="4"/>
  <c r="J55" i="4"/>
  <c r="E55" i="4"/>
  <c r="P55" i="4"/>
  <c r="F55" i="4"/>
  <c r="B56" i="3"/>
  <c r="D56" i="4"/>
  <c r="O56" i="11" l="1"/>
  <c r="L56" i="11"/>
  <c r="R56" i="11"/>
  <c r="N56" i="11"/>
  <c r="K56" i="4"/>
  <c r="L56" i="4"/>
  <c r="Q56" i="11"/>
  <c r="J56" i="11"/>
  <c r="N56" i="4"/>
  <c r="M56" i="4"/>
  <c r="M56" i="11"/>
  <c r="K56" i="11"/>
  <c r="R56" i="4"/>
  <c r="F56" i="11"/>
  <c r="I56" i="11"/>
  <c r="E56" i="11"/>
  <c r="H56" i="11"/>
  <c r="G56" i="11"/>
  <c r="A63" i="3"/>
  <c r="AB62" i="3"/>
  <c r="A57" i="11"/>
  <c r="O56" i="4"/>
  <c r="G56" i="4"/>
  <c r="I56" i="4"/>
  <c r="E56" i="4"/>
  <c r="P56" i="4"/>
  <c r="F56" i="4"/>
  <c r="J56" i="4"/>
  <c r="H56" i="4"/>
  <c r="B57" i="3"/>
  <c r="D57" i="4"/>
  <c r="O57" i="11" l="1"/>
  <c r="L57" i="11"/>
  <c r="R57" i="11"/>
  <c r="N57" i="11"/>
  <c r="K57" i="4"/>
  <c r="L57" i="4"/>
  <c r="Q57" i="11"/>
  <c r="J57" i="11"/>
  <c r="M57" i="4"/>
  <c r="N57" i="4"/>
  <c r="M57" i="11"/>
  <c r="K57" i="11"/>
  <c r="R57" i="4"/>
  <c r="G57" i="11"/>
  <c r="F57" i="11"/>
  <c r="I57" i="11"/>
  <c r="E57" i="11"/>
  <c r="H57" i="11"/>
  <c r="A64" i="3"/>
  <c r="AB63" i="3"/>
  <c r="A58" i="11"/>
  <c r="B58" i="3"/>
  <c r="D58" i="4"/>
  <c r="I57" i="4"/>
  <c r="E57" i="4"/>
  <c r="J57" i="4"/>
  <c r="F57" i="4"/>
  <c r="P57" i="4"/>
  <c r="H57" i="4"/>
  <c r="O57" i="4"/>
  <c r="G57" i="4"/>
  <c r="O58" i="11" l="1"/>
  <c r="L58" i="11"/>
  <c r="R58" i="11"/>
  <c r="N58" i="11"/>
  <c r="K58" i="4"/>
  <c r="L58" i="4"/>
  <c r="Q58" i="11"/>
  <c r="J58" i="11"/>
  <c r="N58" i="4"/>
  <c r="M58" i="4"/>
  <c r="M58" i="11"/>
  <c r="K58" i="11"/>
  <c r="R58" i="4"/>
  <c r="I58" i="11"/>
  <c r="H58" i="11"/>
  <c r="G58" i="11"/>
  <c r="F58" i="11"/>
  <c r="E58" i="11"/>
  <c r="A65" i="3"/>
  <c r="AB64" i="3"/>
  <c r="A59" i="11"/>
  <c r="F58" i="4"/>
  <c r="E58" i="4"/>
  <c r="I58" i="4"/>
  <c r="O58" i="4"/>
  <c r="P58" i="4"/>
  <c r="H58" i="4"/>
  <c r="G58" i="4"/>
  <c r="J58" i="4"/>
  <c r="B59" i="3"/>
  <c r="D59" i="4"/>
  <c r="O59" i="11" l="1"/>
  <c r="L59" i="11"/>
  <c r="R59" i="11"/>
  <c r="N59" i="11"/>
  <c r="K59" i="4"/>
  <c r="L59" i="4"/>
  <c r="Q59" i="11"/>
  <c r="J59" i="11"/>
  <c r="M59" i="4"/>
  <c r="N59" i="4"/>
  <c r="M59" i="11"/>
  <c r="K59" i="11"/>
  <c r="R59" i="4"/>
  <c r="I59" i="11"/>
  <c r="H59" i="11"/>
  <c r="G59" i="11"/>
  <c r="F59" i="11"/>
  <c r="E59" i="11"/>
  <c r="A66" i="3"/>
  <c r="AB65" i="3"/>
  <c r="A60" i="11"/>
  <c r="E59" i="4"/>
  <c r="F59" i="4"/>
  <c r="G59" i="4"/>
  <c r="O59" i="4"/>
  <c r="I59" i="4"/>
  <c r="P59" i="4"/>
  <c r="J59" i="4"/>
  <c r="H59" i="4"/>
  <c r="B60" i="3"/>
  <c r="D60" i="4"/>
  <c r="O60" i="11" l="1"/>
  <c r="L60" i="11"/>
  <c r="R60" i="11"/>
  <c r="N60" i="11"/>
  <c r="K60" i="4"/>
  <c r="L60" i="4"/>
  <c r="Q60" i="11"/>
  <c r="J60" i="11"/>
  <c r="M60" i="4"/>
  <c r="N60" i="4"/>
  <c r="M60" i="11"/>
  <c r="K60" i="11"/>
  <c r="R60" i="4"/>
  <c r="I60" i="11"/>
  <c r="H60" i="11"/>
  <c r="G60" i="11"/>
  <c r="F60" i="11"/>
  <c r="E60" i="11"/>
  <c r="A67" i="3"/>
  <c r="AB66" i="3"/>
  <c r="A61" i="11"/>
  <c r="B61" i="3"/>
  <c r="D61" i="4"/>
  <c r="P60" i="4"/>
  <c r="E60" i="4"/>
  <c r="F60" i="4"/>
  <c r="G60" i="4"/>
  <c r="I60" i="4"/>
  <c r="J60" i="4"/>
  <c r="O60" i="4"/>
  <c r="H60" i="4"/>
  <c r="O61" i="11" l="1"/>
  <c r="L61" i="11"/>
  <c r="R61" i="11"/>
  <c r="N61" i="11"/>
  <c r="Q61" i="11"/>
  <c r="J61" i="11"/>
  <c r="K61" i="4"/>
  <c r="L61" i="4"/>
  <c r="N61" i="4"/>
  <c r="M61" i="4"/>
  <c r="M61" i="11"/>
  <c r="K61" i="11"/>
  <c r="R61" i="4"/>
  <c r="A68" i="3"/>
  <c r="AB67" i="3"/>
  <c r="I61" i="11"/>
  <c r="H61" i="11"/>
  <c r="G61" i="11"/>
  <c r="F61" i="11"/>
  <c r="E61" i="11"/>
  <c r="A62" i="11"/>
  <c r="O61" i="4"/>
  <c r="I61" i="4"/>
  <c r="F61" i="4"/>
  <c r="G61" i="4"/>
  <c r="P61" i="4"/>
  <c r="E61" i="4"/>
  <c r="J61" i="4"/>
  <c r="H61" i="4"/>
  <c r="B62" i="3"/>
  <c r="D62" i="4"/>
  <c r="O62" i="11" l="1"/>
  <c r="L62" i="11"/>
  <c r="R62" i="11"/>
  <c r="N62" i="11"/>
  <c r="K62" i="4"/>
  <c r="L62" i="4"/>
  <c r="Q62" i="11"/>
  <c r="J62" i="11"/>
  <c r="N62" i="4"/>
  <c r="M62" i="4"/>
  <c r="M62" i="11"/>
  <c r="K62" i="11"/>
  <c r="R62" i="4"/>
  <c r="I62" i="11"/>
  <c r="H62" i="11"/>
  <c r="G62" i="11"/>
  <c r="F62" i="11"/>
  <c r="E62" i="11"/>
  <c r="A69" i="3"/>
  <c r="AB68" i="3"/>
  <c r="A63" i="11"/>
  <c r="O62" i="4"/>
  <c r="I62" i="4"/>
  <c r="J62" i="4"/>
  <c r="P62" i="4"/>
  <c r="E62" i="4"/>
  <c r="F62" i="4"/>
  <c r="H62" i="4"/>
  <c r="G62" i="4"/>
  <c r="B63" i="3"/>
  <c r="D63" i="4"/>
  <c r="O63" i="11" l="1"/>
  <c r="L63" i="11"/>
  <c r="R63" i="11"/>
  <c r="N63" i="11"/>
  <c r="K63" i="4"/>
  <c r="L63" i="4"/>
  <c r="Q63" i="11"/>
  <c r="J63" i="11"/>
  <c r="N63" i="4"/>
  <c r="M63" i="4"/>
  <c r="M63" i="11"/>
  <c r="K63" i="11"/>
  <c r="R63" i="4"/>
  <c r="I63" i="11"/>
  <c r="H63" i="11"/>
  <c r="G63" i="11"/>
  <c r="F63" i="11"/>
  <c r="E63" i="11"/>
  <c r="A70" i="3"/>
  <c r="AB69" i="3"/>
  <c r="A64" i="11"/>
  <c r="B64" i="3"/>
  <c r="D64" i="4"/>
  <c r="G63" i="4"/>
  <c r="I63" i="4"/>
  <c r="P63" i="4"/>
  <c r="E63" i="4"/>
  <c r="O63" i="4"/>
  <c r="J63" i="4"/>
  <c r="H63" i="4"/>
  <c r="F63" i="4"/>
  <c r="O64" i="11" l="1"/>
  <c r="L64" i="11"/>
  <c r="R64" i="11"/>
  <c r="N64" i="11"/>
  <c r="Q64" i="11"/>
  <c r="J64" i="11"/>
  <c r="K64" i="4"/>
  <c r="L64" i="4"/>
  <c r="M64" i="4"/>
  <c r="N64" i="4"/>
  <c r="M64" i="11"/>
  <c r="K64" i="11"/>
  <c r="R64" i="4"/>
  <c r="G64" i="11"/>
  <c r="F64" i="11"/>
  <c r="E64" i="11"/>
  <c r="I64" i="11"/>
  <c r="H64" i="11"/>
  <c r="A71" i="3"/>
  <c r="AB70" i="3"/>
  <c r="A65" i="11"/>
  <c r="J64" i="4"/>
  <c r="E64" i="4"/>
  <c r="F64" i="4"/>
  <c r="H64" i="4"/>
  <c r="G64" i="4"/>
  <c r="P64" i="4"/>
  <c r="I64" i="4"/>
  <c r="O64" i="4"/>
  <c r="B65" i="3"/>
  <c r="D65" i="4"/>
  <c r="O65" i="11" l="1"/>
  <c r="L65" i="11"/>
  <c r="R65" i="11"/>
  <c r="N65" i="11"/>
  <c r="K65" i="4"/>
  <c r="L65" i="4"/>
  <c r="Q65" i="11"/>
  <c r="J65" i="11"/>
  <c r="M65" i="4"/>
  <c r="N65" i="4"/>
  <c r="M65" i="11"/>
  <c r="K65" i="11"/>
  <c r="R65" i="4"/>
  <c r="H65" i="11"/>
  <c r="G65" i="11"/>
  <c r="F65" i="11"/>
  <c r="E65" i="11"/>
  <c r="I65" i="11"/>
  <c r="A72" i="3"/>
  <c r="AB71" i="3"/>
  <c r="A66" i="11"/>
  <c r="H65" i="4"/>
  <c r="G65" i="4"/>
  <c r="I65" i="4"/>
  <c r="P65" i="4"/>
  <c r="E65" i="4"/>
  <c r="F65" i="4"/>
  <c r="O65" i="4"/>
  <c r="J65" i="4"/>
  <c r="B66" i="3"/>
  <c r="D66" i="4"/>
  <c r="O66" i="11" l="1"/>
  <c r="L66" i="11"/>
  <c r="R66" i="11"/>
  <c r="N66" i="11"/>
  <c r="K66" i="4"/>
  <c r="L66" i="4"/>
  <c r="Q66" i="11"/>
  <c r="J66" i="11"/>
  <c r="M66" i="4"/>
  <c r="N66" i="4"/>
  <c r="M66" i="11"/>
  <c r="K66" i="11"/>
  <c r="R66" i="4"/>
  <c r="I66" i="11"/>
  <c r="H66" i="11"/>
  <c r="G66" i="11"/>
  <c r="F66" i="11"/>
  <c r="E66" i="11"/>
  <c r="A73" i="3"/>
  <c r="AB72" i="3"/>
  <c r="A67" i="11"/>
  <c r="G66" i="4"/>
  <c r="O66" i="4"/>
  <c r="I66" i="4"/>
  <c r="E66" i="4"/>
  <c r="P66" i="4"/>
  <c r="H66" i="4"/>
  <c r="J66" i="4"/>
  <c r="F66" i="4"/>
  <c r="B67" i="3"/>
  <c r="D67" i="4"/>
  <c r="O67" i="11" l="1"/>
  <c r="L67" i="11"/>
  <c r="R67" i="11"/>
  <c r="N67" i="11"/>
  <c r="K67" i="4"/>
  <c r="L67" i="4"/>
  <c r="Q67" i="11"/>
  <c r="J67" i="11"/>
  <c r="M67" i="4"/>
  <c r="N67" i="4"/>
  <c r="M67" i="11"/>
  <c r="K67" i="11"/>
  <c r="R67" i="4"/>
  <c r="I67" i="11"/>
  <c r="H67" i="11"/>
  <c r="G67" i="11"/>
  <c r="F67" i="11"/>
  <c r="E67" i="11"/>
  <c r="A74" i="3"/>
  <c r="AB73" i="3"/>
  <c r="A68" i="11"/>
  <c r="B68" i="3"/>
  <c r="D68" i="4"/>
  <c r="O67" i="4"/>
  <c r="G67" i="4"/>
  <c r="H67" i="4"/>
  <c r="I67" i="4"/>
  <c r="E67" i="4"/>
  <c r="P67" i="4"/>
  <c r="J67" i="4"/>
  <c r="F67" i="4"/>
  <c r="O68" i="11" l="1"/>
  <c r="L68" i="11"/>
  <c r="R68" i="11"/>
  <c r="N68" i="11"/>
  <c r="K68" i="4"/>
  <c r="L68" i="4"/>
  <c r="Q68" i="11"/>
  <c r="J68" i="11"/>
  <c r="N68" i="4"/>
  <c r="M68" i="4"/>
  <c r="M68" i="11"/>
  <c r="K68" i="11"/>
  <c r="R68" i="4"/>
  <c r="I68" i="11"/>
  <c r="H68" i="11"/>
  <c r="G68" i="11"/>
  <c r="F68" i="11"/>
  <c r="E68" i="11"/>
  <c r="A75" i="3"/>
  <c r="AB74" i="3"/>
  <c r="A69" i="11"/>
  <c r="B69" i="3"/>
  <c r="D69" i="4"/>
  <c r="I68" i="4"/>
  <c r="P68" i="4"/>
  <c r="F68" i="4"/>
  <c r="H68" i="4"/>
  <c r="E68" i="4"/>
  <c r="G68" i="4"/>
  <c r="J68" i="4"/>
  <c r="O68" i="4"/>
  <c r="O69" i="11" l="1"/>
  <c r="L69" i="11"/>
  <c r="R69" i="11"/>
  <c r="N69" i="11"/>
  <c r="Q69" i="11"/>
  <c r="J69" i="11"/>
  <c r="K69" i="4"/>
  <c r="L69" i="4"/>
  <c r="N69" i="4"/>
  <c r="M69" i="4"/>
  <c r="M69" i="11"/>
  <c r="K69" i="11"/>
  <c r="R69" i="4"/>
  <c r="I69" i="11"/>
  <c r="H69" i="11"/>
  <c r="G69" i="11"/>
  <c r="F69" i="11"/>
  <c r="E69" i="11"/>
  <c r="A76" i="3"/>
  <c r="AB75" i="3"/>
  <c r="A70" i="11"/>
  <c r="B70" i="3"/>
  <c r="D70" i="4"/>
  <c r="G69" i="4"/>
  <c r="O69" i="4"/>
  <c r="H69" i="4"/>
  <c r="P69" i="4"/>
  <c r="E69" i="4"/>
  <c r="I69" i="4"/>
  <c r="F69" i="4"/>
  <c r="J69" i="4"/>
  <c r="O70" i="11" l="1"/>
  <c r="L70" i="11"/>
  <c r="R70" i="11"/>
  <c r="N70" i="11"/>
  <c r="K70" i="4"/>
  <c r="L70" i="4"/>
  <c r="Q70" i="11"/>
  <c r="J70" i="11"/>
  <c r="N70" i="4"/>
  <c r="M70" i="4"/>
  <c r="M70" i="11"/>
  <c r="K70" i="11"/>
  <c r="R70" i="4"/>
  <c r="I70" i="11"/>
  <c r="H70" i="11"/>
  <c r="G70" i="11"/>
  <c r="F70" i="11"/>
  <c r="E70" i="11"/>
  <c r="A77" i="3"/>
  <c r="AB76" i="3"/>
  <c r="A71" i="11"/>
  <c r="F70" i="4"/>
  <c r="I70" i="4"/>
  <c r="H70" i="4"/>
  <c r="O70" i="4"/>
  <c r="P70" i="4"/>
  <c r="J70" i="4"/>
  <c r="G70" i="4"/>
  <c r="E70" i="4"/>
  <c r="B71" i="3"/>
  <c r="D71" i="4"/>
  <c r="O71" i="11" l="1"/>
  <c r="L71" i="11"/>
  <c r="R71" i="11"/>
  <c r="N71" i="11"/>
  <c r="K71" i="4"/>
  <c r="L71" i="4"/>
  <c r="Q71" i="11"/>
  <c r="J71" i="11"/>
  <c r="M71" i="4"/>
  <c r="N71" i="4"/>
  <c r="M71" i="11"/>
  <c r="K71" i="11"/>
  <c r="R71" i="4"/>
  <c r="I71" i="11"/>
  <c r="H71" i="11"/>
  <c r="G71" i="11"/>
  <c r="F71" i="11"/>
  <c r="E71" i="11"/>
  <c r="A78" i="3"/>
  <c r="AB77" i="3"/>
  <c r="A72" i="11"/>
  <c r="I71" i="4"/>
  <c r="G71" i="4"/>
  <c r="E71" i="4"/>
  <c r="O71" i="4"/>
  <c r="J71" i="4"/>
  <c r="F71" i="4"/>
  <c r="P71" i="4"/>
  <c r="H71" i="4"/>
  <c r="B72" i="3"/>
  <c r="D72" i="4"/>
  <c r="O72" i="11" l="1"/>
  <c r="L72" i="11"/>
  <c r="R72" i="11"/>
  <c r="N72" i="11"/>
  <c r="K72" i="4"/>
  <c r="L72" i="4"/>
  <c r="Q72" i="11"/>
  <c r="J72" i="11"/>
  <c r="M72" i="4"/>
  <c r="N72" i="4"/>
  <c r="M72" i="11"/>
  <c r="K72" i="11"/>
  <c r="R72" i="4"/>
  <c r="A79" i="3"/>
  <c r="AB78" i="3"/>
  <c r="H72" i="11"/>
  <c r="G72" i="11"/>
  <c r="E72" i="11"/>
  <c r="F72" i="11"/>
  <c r="I72" i="11"/>
  <c r="A73" i="11"/>
  <c r="B73" i="3"/>
  <c r="D73" i="4"/>
  <c r="I72" i="4"/>
  <c r="P72" i="4"/>
  <c r="J72" i="4"/>
  <c r="H72" i="4"/>
  <c r="G72" i="4"/>
  <c r="E72" i="4"/>
  <c r="F72" i="4"/>
  <c r="O72" i="4"/>
  <c r="O73" i="11" l="1"/>
  <c r="L73" i="11"/>
  <c r="R73" i="11"/>
  <c r="N73" i="11"/>
  <c r="K73" i="4"/>
  <c r="L73" i="4"/>
  <c r="Q73" i="11"/>
  <c r="J73" i="11"/>
  <c r="N73" i="4"/>
  <c r="M73" i="4"/>
  <c r="M73" i="11"/>
  <c r="K73" i="11"/>
  <c r="R73" i="4"/>
  <c r="I73" i="11"/>
  <c r="H73" i="11"/>
  <c r="G73" i="11"/>
  <c r="E73" i="11"/>
  <c r="F73" i="11"/>
  <c r="A80" i="3"/>
  <c r="AB79" i="3"/>
  <c r="A74" i="11"/>
  <c r="P73" i="4"/>
  <c r="E73" i="4"/>
  <c r="G73" i="4"/>
  <c r="F73" i="4"/>
  <c r="I73" i="4"/>
  <c r="O73" i="4"/>
  <c r="H73" i="4"/>
  <c r="J73" i="4"/>
  <c r="B74" i="3"/>
  <c r="D74" i="4"/>
  <c r="O74" i="11" l="1"/>
  <c r="L74" i="11"/>
  <c r="R74" i="11"/>
  <c r="N74" i="11"/>
  <c r="K74" i="4"/>
  <c r="L74" i="4"/>
  <c r="Q74" i="11"/>
  <c r="J74" i="11"/>
  <c r="N74" i="4"/>
  <c r="M74" i="4"/>
  <c r="M74" i="11"/>
  <c r="K74" i="11"/>
  <c r="R74" i="4"/>
  <c r="I74" i="11"/>
  <c r="H74" i="11"/>
  <c r="G74" i="11"/>
  <c r="E74" i="11"/>
  <c r="F74" i="11"/>
  <c r="A81" i="3"/>
  <c r="AB80" i="3"/>
  <c r="A75" i="11"/>
  <c r="O74" i="4"/>
  <c r="P74" i="4"/>
  <c r="H74" i="4"/>
  <c r="I74" i="4"/>
  <c r="G74" i="4"/>
  <c r="J74" i="4"/>
  <c r="E74" i="4"/>
  <c r="F74" i="4"/>
  <c r="B75" i="3"/>
  <c r="D75" i="4"/>
  <c r="O75" i="11" l="1"/>
  <c r="L75" i="11"/>
  <c r="R75" i="11"/>
  <c r="N75" i="11"/>
  <c r="Q75" i="11"/>
  <c r="J75" i="11"/>
  <c r="K75" i="4"/>
  <c r="L75" i="4"/>
  <c r="M75" i="4"/>
  <c r="N75" i="4"/>
  <c r="M75" i="11"/>
  <c r="K75" i="11"/>
  <c r="R75" i="4"/>
  <c r="A82" i="3"/>
  <c r="AB81" i="3"/>
  <c r="I75" i="11"/>
  <c r="H75" i="11"/>
  <c r="G75" i="11"/>
  <c r="F75" i="11"/>
  <c r="E75" i="11"/>
  <c r="A76" i="11"/>
  <c r="G75" i="4"/>
  <c r="O75" i="4"/>
  <c r="J75" i="4"/>
  <c r="H75" i="4"/>
  <c r="I75" i="4"/>
  <c r="E75" i="4"/>
  <c r="P75" i="4"/>
  <c r="F75" i="4"/>
  <c r="B76" i="3"/>
  <c r="D76" i="4"/>
  <c r="O76" i="11" l="1"/>
  <c r="L76" i="11"/>
  <c r="R76" i="11"/>
  <c r="N76" i="11"/>
  <c r="K76" i="4"/>
  <c r="L76" i="4"/>
  <c r="Q76" i="11"/>
  <c r="J76" i="11"/>
  <c r="N76" i="4"/>
  <c r="M76" i="4"/>
  <c r="M76" i="11"/>
  <c r="K76" i="11"/>
  <c r="R76" i="4"/>
  <c r="I76" i="11"/>
  <c r="H76" i="11"/>
  <c r="G76" i="11"/>
  <c r="F76" i="11"/>
  <c r="E76" i="11"/>
  <c r="A83" i="3"/>
  <c r="AB82" i="3"/>
  <c r="A77" i="11"/>
  <c r="B77" i="3"/>
  <c r="D77" i="4"/>
  <c r="H76" i="4"/>
  <c r="O76" i="4"/>
  <c r="G76" i="4"/>
  <c r="F76" i="4"/>
  <c r="P76" i="4"/>
  <c r="I76" i="4"/>
  <c r="J76" i="4"/>
  <c r="E76" i="4"/>
  <c r="O77" i="11" l="1"/>
  <c r="L77" i="11"/>
  <c r="R77" i="11"/>
  <c r="N77" i="11"/>
  <c r="Q77" i="11"/>
  <c r="J77" i="11"/>
  <c r="K77" i="4"/>
  <c r="L77" i="4"/>
  <c r="N77" i="4"/>
  <c r="M77" i="4"/>
  <c r="M77" i="11"/>
  <c r="K77" i="11"/>
  <c r="R77" i="4"/>
  <c r="I77" i="11"/>
  <c r="H77" i="11"/>
  <c r="G77" i="11"/>
  <c r="E77" i="11"/>
  <c r="F77" i="11"/>
  <c r="A84" i="3"/>
  <c r="AB83" i="3"/>
  <c r="A78" i="11"/>
  <c r="P77" i="4"/>
  <c r="E77" i="4"/>
  <c r="G77" i="4"/>
  <c r="H77" i="4"/>
  <c r="F77" i="4"/>
  <c r="I77" i="4"/>
  <c r="O77" i="4"/>
  <c r="J77" i="4"/>
  <c r="B78" i="3"/>
  <c r="D78" i="4"/>
  <c r="O78" i="11" l="1"/>
  <c r="L78" i="11"/>
  <c r="R78" i="11"/>
  <c r="N78" i="11"/>
  <c r="K78" i="4"/>
  <c r="L78" i="4"/>
  <c r="Q78" i="11"/>
  <c r="J78" i="11"/>
  <c r="M78" i="4"/>
  <c r="N78" i="4"/>
  <c r="M78" i="11"/>
  <c r="K78" i="11"/>
  <c r="R78" i="4"/>
  <c r="A85" i="3"/>
  <c r="AB84" i="3"/>
  <c r="I78" i="11"/>
  <c r="H78" i="11"/>
  <c r="G78" i="11"/>
  <c r="F78" i="11"/>
  <c r="E78" i="11"/>
  <c r="A79" i="11"/>
  <c r="I78" i="4"/>
  <c r="H78" i="4"/>
  <c r="G78" i="4"/>
  <c r="P78" i="4"/>
  <c r="E78" i="4"/>
  <c r="O78" i="4"/>
  <c r="J78" i="4"/>
  <c r="F78" i="4"/>
  <c r="B79" i="3"/>
  <c r="D79" i="4"/>
  <c r="O79" i="11" l="1"/>
  <c r="L79" i="11"/>
  <c r="R79" i="11"/>
  <c r="N79" i="11"/>
  <c r="K79" i="4"/>
  <c r="L79" i="4"/>
  <c r="Q79" i="11"/>
  <c r="J79" i="11"/>
  <c r="M79" i="4"/>
  <c r="N79" i="4"/>
  <c r="M79" i="11"/>
  <c r="K79" i="11"/>
  <c r="R79" i="4"/>
  <c r="A86" i="3"/>
  <c r="AB85" i="3"/>
  <c r="I79" i="11"/>
  <c r="H79" i="11"/>
  <c r="G79" i="11"/>
  <c r="F79" i="11"/>
  <c r="E79" i="11"/>
  <c r="A80" i="11"/>
  <c r="O79" i="4"/>
  <c r="I79" i="4"/>
  <c r="P79" i="4"/>
  <c r="H79" i="4"/>
  <c r="F79" i="4"/>
  <c r="J79" i="4"/>
  <c r="G79" i="4"/>
  <c r="E79" i="4"/>
  <c r="B80" i="3"/>
  <c r="D80" i="4"/>
  <c r="O80" i="11" l="1"/>
  <c r="L80" i="11"/>
  <c r="R80" i="11"/>
  <c r="N80" i="11"/>
  <c r="Q80" i="11"/>
  <c r="J80" i="11"/>
  <c r="K80" i="4"/>
  <c r="L80" i="4"/>
  <c r="M80" i="4"/>
  <c r="N80" i="4"/>
  <c r="M80" i="11"/>
  <c r="K80" i="11"/>
  <c r="R80" i="4"/>
  <c r="I80" i="11"/>
  <c r="H80" i="11"/>
  <c r="F80" i="11"/>
  <c r="E80" i="11"/>
  <c r="G80" i="11"/>
  <c r="A87" i="3"/>
  <c r="AB86" i="3"/>
  <c r="A81" i="11"/>
  <c r="B81" i="3"/>
  <c r="D81" i="4"/>
  <c r="H80" i="4"/>
  <c r="I80" i="4"/>
  <c r="O80" i="4"/>
  <c r="J80" i="4"/>
  <c r="E80" i="4"/>
  <c r="P80" i="4"/>
  <c r="F80" i="4"/>
  <c r="G80" i="4"/>
  <c r="O81" i="11" l="1"/>
  <c r="L81" i="11"/>
  <c r="R81" i="11"/>
  <c r="N81" i="11"/>
  <c r="K81" i="4"/>
  <c r="L81" i="4"/>
  <c r="Q81" i="11"/>
  <c r="J81" i="11"/>
  <c r="M81" i="4"/>
  <c r="N81" i="4"/>
  <c r="M81" i="11"/>
  <c r="K81" i="11"/>
  <c r="R81" i="4"/>
  <c r="I81" i="11"/>
  <c r="H81" i="11"/>
  <c r="F81" i="11"/>
  <c r="E81" i="11"/>
  <c r="G81" i="11"/>
  <c r="A88" i="3"/>
  <c r="AB87" i="3"/>
  <c r="A82" i="11"/>
  <c r="J81" i="4"/>
  <c r="P81" i="4"/>
  <c r="E81" i="4"/>
  <c r="O81" i="4"/>
  <c r="I81" i="4"/>
  <c r="H81" i="4"/>
  <c r="F81" i="4"/>
  <c r="G81" i="4"/>
  <c r="B82" i="3"/>
  <c r="D82" i="4"/>
  <c r="O82" i="11" l="1"/>
  <c r="L82" i="11"/>
  <c r="R82" i="11"/>
  <c r="N82" i="11"/>
  <c r="K82" i="4"/>
  <c r="L82" i="4"/>
  <c r="Q82" i="11"/>
  <c r="J82" i="11"/>
  <c r="N82" i="4"/>
  <c r="M82" i="4"/>
  <c r="M82" i="11"/>
  <c r="K82" i="11"/>
  <c r="R82" i="4"/>
  <c r="I82" i="11"/>
  <c r="H82" i="11"/>
  <c r="G82" i="11"/>
  <c r="F82" i="11"/>
  <c r="E82" i="11"/>
  <c r="A89" i="3"/>
  <c r="AB88" i="3"/>
  <c r="A83" i="11"/>
  <c r="I82" i="4"/>
  <c r="F82" i="4"/>
  <c r="J82" i="4"/>
  <c r="P82" i="4"/>
  <c r="H82" i="4"/>
  <c r="E82" i="4"/>
  <c r="O82" i="4"/>
  <c r="G82" i="4"/>
  <c r="B83" i="3"/>
  <c r="D83" i="4"/>
  <c r="O83" i="11" l="1"/>
  <c r="L83" i="11"/>
  <c r="R83" i="11"/>
  <c r="N83" i="11"/>
  <c r="K83" i="4"/>
  <c r="L83" i="4"/>
  <c r="Q83" i="11"/>
  <c r="J83" i="11"/>
  <c r="M83" i="4"/>
  <c r="N83" i="4"/>
  <c r="M83" i="11"/>
  <c r="K83" i="11"/>
  <c r="R83" i="4"/>
  <c r="I83" i="11"/>
  <c r="H83" i="11"/>
  <c r="G83" i="11"/>
  <c r="F83" i="11"/>
  <c r="E83" i="11"/>
  <c r="A90" i="3"/>
  <c r="AB89" i="3"/>
  <c r="A84" i="11"/>
  <c r="H83" i="4"/>
  <c r="G83" i="4"/>
  <c r="J83" i="4"/>
  <c r="I83" i="4"/>
  <c r="O83" i="4"/>
  <c r="P83" i="4"/>
  <c r="E83" i="4"/>
  <c r="F83" i="4"/>
  <c r="B84" i="3"/>
  <c r="D84" i="4"/>
  <c r="O84" i="11" l="1"/>
  <c r="L84" i="11"/>
  <c r="R84" i="11"/>
  <c r="N84" i="11"/>
  <c r="Q84" i="11"/>
  <c r="J84" i="11"/>
  <c r="K84" i="4"/>
  <c r="L84" i="4"/>
  <c r="M84" i="4"/>
  <c r="N84" i="4"/>
  <c r="M84" i="11"/>
  <c r="K84" i="11"/>
  <c r="R84" i="4"/>
  <c r="I84" i="11"/>
  <c r="H84" i="11"/>
  <c r="G84" i="11"/>
  <c r="F84" i="11"/>
  <c r="E84" i="11"/>
  <c r="A91" i="3"/>
  <c r="AB90" i="3"/>
  <c r="A85" i="11"/>
  <c r="B85" i="3"/>
  <c r="D85" i="4"/>
  <c r="P84" i="4"/>
  <c r="J84" i="4"/>
  <c r="H84" i="4"/>
  <c r="G84" i="4"/>
  <c r="E84" i="4"/>
  <c r="O84" i="4"/>
  <c r="I84" i="4"/>
  <c r="F84" i="4"/>
  <c r="O85" i="11" l="1"/>
  <c r="L85" i="11"/>
  <c r="R85" i="11"/>
  <c r="N85" i="11"/>
  <c r="K85" i="4"/>
  <c r="L85" i="4"/>
  <c r="Q85" i="11"/>
  <c r="J85" i="11"/>
  <c r="N85" i="4"/>
  <c r="M85" i="4"/>
  <c r="M85" i="11"/>
  <c r="K85" i="11"/>
  <c r="R85" i="4"/>
  <c r="I85" i="11"/>
  <c r="H85" i="11"/>
  <c r="G85" i="11"/>
  <c r="F85" i="11"/>
  <c r="E85" i="11"/>
  <c r="A92" i="3"/>
  <c r="AB91" i="3"/>
  <c r="A86" i="11"/>
  <c r="G85" i="4"/>
  <c r="O85" i="4"/>
  <c r="H85" i="4"/>
  <c r="I85" i="4"/>
  <c r="J85" i="4"/>
  <c r="E85" i="4"/>
  <c r="P85" i="4"/>
  <c r="F85" i="4"/>
  <c r="B86" i="3"/>
  <c r="D86" i="4"/>
  <c r="O86" i="11" l="1"/>
  <c r="L86" i="11"/>
  <c r="R86" i="11"/>
  <c r="N86" i="11"/>
  <c r="K86" i="4"/>
  <c r="L86" i="4"/>
  <c r="Q86" i="11"/>
  <c r="J86" i="11"/>
  <c r="N86" i="4"/>
  <c r="M86" i="4"/>
  <c r="M86" i="11"/>
  <c r="K86" i="11"/>
  <c r="R86" i="4"/>
  <c r="I86" i="11"/>
  <c r="H86" i="11"/>
  <c r="G86" i="11"/>
  <c r="F86" i="11"/>
  <c r="E86" i="11"/>
  <c r="A93" i="3"/>
  <c r="AB92" i="3"/>
  <c r="A87" i="11"/>
  <c r="H86" i="4"/>
  <c r="O86" i="4"/>
  <c r="J86" i="4"/>
  <c r="G86" i="4"/>
  <c r="E86" i="4"/>
  <c r="I86" i="4"/>
  <c r="P86" i="4"/>
  <c r="F86" i="4"/>
  <c r="B87" i="3"/>
  <c r="D87" i="4"/>
  <c r="O87" i="11" l="1"/>
  <c r="L87" i="11"/>
  <c r="R87" i="11"/>
  <c r="N87" i="11"/>
  <c r="K87" i="4"/>
  <c r="L87" i="4"/>
  <c r="Q87" i="11"/>
  <c r="J87" i="11"/>
  <c r="N87" i="4"/>
  <c r="M87" i="4"/>
  <c r="K87" i="11"/>
  <c r="M87" i="11"/>
  <c r="R87" i="4"/>
  <c r="A94" i="3"/>
  <c r="AB93" i="3"/>
  <c r="I87" i="11"/>
  <c r="H87" i="11"/>
  <c r="G87" i="11"/>
  <c r="F87" i="11"/>
  <c r="E87" i="11"/>
  <c r="A88" i="11"/>
  <c r="O87" i="4"/>
  <c r="H87" i="4"/>
  <c r="I87" i="4"/>
  <c r="E87" i="4"/>
  <c r="F87" i="4"/>
  <c r="G87" i="4"/>
  <c r="P87" i="4"/>
  <c r="J87" i="4"/>
  <c r="B88" i="3"/>
  <c r="D88" i="4"/>
  <c r="O88" i="11" l="1"/>
  <c r="L88" i="11"/>
  <c r="R88" i="11"/>
  <c r="N88" i="11"/>
  <c r="K88" i="4"/>
  <c r="L88" i="4"/>
  <c r="Q88" i="11"/>
  <c r="J88" i="11"/>
  <c r="M88" i="4"/>
  <c r="N88" i="4"/>
  <c r="M88" i="11"/>
  <c r="K88" i="11"/>
  <c r="R88" i="4"/>
  <c r="I88" i="11"/>
  <c r="F88" i="11"/>
  <c r="E88" i="11"/>
  <c r="H88" i="11"/>
  <c r="G88" i="11"/>
  <c r="A95" i="3"/>
  <c r="AB94" i="3"/>
  <c r="A89" i="11"/>
  <c r="P88" i="4"/>
  <c r="E88" i="4"/>
  <c r="I88" i="4"/>
  <c r="H88" i="4"/>
  <c r="J88" i="4"/>
  <c r="F88" i="4"/>
  <c r="O88" i="4"/>
  <c r="G88" i="4"/>
  <c r="B89" i="3"/>
  <c r="D89" i="4"/>
  <c r="O89" i="11" l="1"/>
  <c r="L89" i="11"/>
  <c r="R89" i="11"/>
  <c r="N89" i="11"/>
  <c r="K89" i="4"/>
  <c r="L89" i="4"/>
  <c r="Q89" i="11"/>
  <c r="J89" i="11"/>
  <c r="M89" i="4"/>
  <c r="N89" i="4"/>
  <c r="M89" i="11"/>
  <c r="K89" i="11"/>
  <c r="R89" i="4"/>
  <c r="A96" i="3"/>
  <c r="AB95" i="3"/>
  <c r="G89" i="11"/>
  <c r="I89" i="11"/>
  <c r="F89" i="11"/>
  <c r="E89" i="11"/>
  <c r="H89" i="11"/>
  <c r="A90" i="11"/>
  <c r="F89" i="4"/>
  <c r="P89" i="4"/>
  <c r="H89" i="4"/>
  <c r="J89" i="4"/>
  <c r="I89" i="4"/>
  <c r="O89" i="4"/>
  <c r="G89" i="4"/>
  <c r="E89" i="4"/>
  <c r="B90" i="3"/>
  <c r="D90" i="4"/>
  <c r="O90" i="11" l="1"/>
  <c r="L90" i="11"/>
  <c r="R90" i="11"/>
  <c r="N90" i="11"/>
  <c r="K90" i="4"/>
  <c r="L90" i="4"/>
  <c r="Q90" i="11"/>
  <c r="J90" i="11"/>
  <c r="N90" i="4"/>
  <c r="M90" i="4"/>
  <c r="K90" i="11"/>
  <c r="M90" i="11"/>
  <c r="R90" i="4"/>
  <c r="I90" i="11"/>
  <c r="H90" i="11"/>
  <c r="G90" i="11"/>
  <c r="F90" i="11"/>
  <c r="E90" i="11"/>
  <c r="A97" i="3"/>
  <c r="AB96" i="3"/>
  <c r="A91" i="11"/>
  <c r="B91" i="3"/>
  <c r="D91" i="4"/>
  <c r="P90" i="4"/>
  <c r="F90" i="4"/>
  <c r="I90" i="4"/>
  <c r="J90" i="4"/>
  <c r="E90" i="4"/>
  <c r="O90" i="4"/>
  <c r="H90" i="4"/>
  <c r="G90" i="4"/>
  <c r="O91" i="11" l="1"/>
  <c r="L91" i="11"/>
  <c r="R91" i="11"/>
  <c r="N91" i="11"/>
  <c r="K91" i="4"/>
  <c r="L91" i="4"/>
  <c r="Q91" i="11"/>
  <c r="J91" i="11"/>
  <c r="M91" i="4"/>
  <c r="N91" i="4"/>
  <c r="M91" i="11"/>
  <c r="K91" i="11"/>
  <c r="R91" i="4"/>
  <c r="I91" i="11"/>
  <c r="H91" i="11"/>
  <c r="G91" i="11"/>
  <c r="F91" i="11"/>
  <c r="E91" i="11"/>
  <c r="A98" i="3"/>
  <c r="AB97" i="3"/>
  <c r="A92" i="11"/>
  <c r="H91" i="4"/>
  <c r="F91" i="4"/>
  <c r="P91" i="4"/>
  <c r="O91" i="4"/>
  <c r="E91" i="4"/>
  <c r="J91" i="4"/>
  <c r="I91" i="4"/>
  <c r="G91" i="4"/>
  <c r="B92" i="3"/>
  <c r="D92" i="4"/>
  <c r="O92" i="11" l="1"/>
  <c r="L92" i="11"/>
  <c r="R92" i="11"/>
  <c r="N92" i="11"/>
  <c r="K92" i="4"/>
  <c r="L92" i="4"/>
  <c r="Q92" i="11"/>
  <c r="J92" i="11"/>
  <c r="N92" i="4"/>
  <c r="M92" i="4"/>
  <c r="M92" i="11"/>
  <c r="K92" i="11"/>
  <c r="R92" i="4"/>
  <c r="I92" i="11"/>
  <c r="H92" i="11"/>
  <c r="G92" i="11"/>
  <c r="E92" i="11"/>
  <c r="F92" i="11"/>
  <c r="A99" i="3"/>
  <c r="AB98" i="3"/>
  <c r="A93" i="11"/>
  <c r="F92" i="4"/>
  <c r="I92" i="4"/>
  <c r="O92" i="4"/>
  <c r="G92" i="4"/>
  <c r="J92" i="4"/>
  <c r="H92" i="4"/>
  <c r="P92" i="4"/>
  <c r="E92" i="4"/>
  <c r="B93" i="3"/>
  <c r="D93" i="4"/>
  <c r="O93" i="11" l="1"/>
  <c r="L93" i="11"/>
  <c r="R93" i="11"/>
  <c r="N93" i="11"/>
  <c r="K93" i="4"/>
  <c r="L93" i="4"/>
  <c r="Q93" i="11"/>
  <c r="J93" i="11"/>
  <c r="N93" i="4"/>
  <c r="M93" i="4"/>
  <c r="M93" i="11"/>
  <c r="K93" i="11"/>
  <c r="R93" i="4"/>
  <c r="I93" i="11"/>
  <c r="H93" i="11"/>
  <c r="G93" i="11"/>
  <c r="F93" i="11"/>
  <c r="E93" i="11"/>
  <c r="A100" i="3"/>
  <c r="AB99" i="3"/>
  <c r="A94" i="11"/>
  <c r="G93" i="4"/>
  <c r="O93" i="4"/>
  <c r="E93" i="4"/>
  <c r="I93" i="4"/>
  <c r="F93" i="4"/>
  <c r="P93" i="4"/>
  <c r="J93" i="4"/>
  <c r="H93" i="4"/>
  <c r="B94" i="3"/>
  <c r="D94" i="4"/>
  <c r="O94" i="11" l="1"/>
  <c r="L94" i="11"/>
  <c r="R94" i="11"/>
  <c r="N94" i="11"/>
  <c r="Q94" i="11"/>
  <c r="J94" i="11"/>
  <c r="K94" i="4"/>
  <c r="L94" i="4"/>
  <c r="N94" i="4"/>
  <c r="M94" i="4"/>
  <c r="M94" i="11"/>
  <c r="K94" i="11"/>
  <c r="R94" i="4"/>
  <c r="I94" i="11"/>
  <c r="H94" i="11"/>
  <c r="G94" i="11"/>
  <c r="F94" i="11"/>
  <c r="E94" i="11"/>
  <c r="A101" i="3"/>
  <c r="AB100" i="3"/>
  <c r="A95" i="11"/>
  <c r="H94" i="4"/>
  <c r="I94" i="4"/>
  <c r="G94" i="4"/>
  <c r="F94" i="4"/>
  <c r="O94" i="4"/>
  <c r="P94" i="4"/>
  <c r="J94" i="4"/>
  <c r="E94" i="4"/>
  <c r="B95" i="3"/>
  <c r="D95" i="4"/>
  <c r="O95" i="11" l="1"/>
  <c r="L95" i="11"/>
  <c r="R95" i="11"/>
  <c r="N95" i="11"/>
  <c r="K95" i="4"/>
  <c r="L95" i="4"/>
  <c r="Q95" i="11"/>
  <c r="J95" i="11"/>
  <c r="N95" i="4"/>
  <c r="M95" i="4"/>
  <c r="M95" i="11"/>
  <c r="K95" i="11"/>
  <c r="R95" i="4"/>
  <c r="I95" i="11"/>
  <c r="H95" i="11"/>
  <c r="G95" i="11"/>
  <c r="F95" i="11"/>
  <c r="E95" i="11"/>
  <c r="A102" i="3"/>
  <c r="AB101" i="3"/>
  <c r="A96" i="11"/>
  <c r="I95" i="4"/>
  <c r="H95" i="4"/>
  <c r="O95" i="4"/>
  <c r="G95" i="4"/>
  <c r="J95" i="4"/>
  <c r="E95" i="4"/>
  <c r="P95" i="4"/>
  <c r="F95" i="4"/>
  <c r="B96" i="3"/>
  <c r="D96" i="4"/>
  <c r="O96" i="11" l="1"/>
  <c r="L96" i="11"/>
  <c r="R96" i="11"/>
  <c r="N96" i="11"/>
  <c r="K96" i="4"/>
  <c r="L96" i="4"/>
  <c r="Q96" i="11"/>
  <c r="J96" i="11"/>
  <c r="M96" i="4"/>
  <c r="N96" i="4"/>
  <c r="M96" i="11"/>
  <c r="K96" i="11"/>
  <c r="R96" i="4"/>
  <c r="G96" i="11"/>
  <c r="F96" i="11"/>
  <c r="E96" i="11"/>
  <c r="I96" i="11"/>
  <c r="H96" i="11"/>
  <c r="A103" i="3"/>
  <c r="AB102" i="3"/>
  <c r="A97" i="11"/>
  <c r="B97" i="3"/>
  <c r="D97" i="4"/>
  <c r="O96" i="4"/>
  <c r="E96" i="4"/>
  <c r="F96" i="4"/>
  <c r="P96" i="4"/>
  <c r="J96" i="4"/>
  <c r="G96" i="4"/>
  <c r="H96" i="4"/>
  <c r="I96" i="4"/>
  <c r="O97" i="11" l="1"/>
  <c r="L97" i="11"/>
  <c r="R97" i="11"/>
  <c r="N97" i="11"/>
  <c r="K97" i="4"/>
  <c r="L97" i="4"/>
  <c r="Q97" i="11"/>
  <c r="J97" i="11"/>
  <c r="N97" i="4"/>
  <c r="M97" i="4"/>
  <c r="M97" i="11"/>
  <c r="K97" i="11"/>
  <c r="R97" i="4"/>
  <c r="H97" i="11"/>
  <c r="G97" i="11"/>
  <c r="F97" i="11"/>
  <c r="E97" i="11"/>
  <c r="I97" i="11"/>
  <c r="A104" i="3"/>
  <c r="AB103" i="3"/>
  <c r="A98" i="11"/>
  <c r="J97" i="4"/>
  <c r="E97" i="4"/>
  <c r="F97" i="4"/>
  <c r="H97" i="4"/>
  <c r="G97" i="4"/>
  <c r="I97" i="4"/>
  <c r="P97" i="4"/>
  <c r="O97" i="4"/>
  <c r="B98" i="3"/>
  <c r="D98" i="4"/>
  <c r="O98" i="11" l="1"/>
  <c r="L98" i="11"/>
  <c r="R98" i="11"/>
  <c r="N98" i="11"/>
  <c r="Q98" i="11"/>
  <c r="J98" i="11"/>
  <c r="K98" i="4"/>
  <c r="L98" i="4"/>
  <c r="N98" i="4"/>
  <c r="M98" i="4"/>
  <c r="M98" i="11"/>
  <c r="K98" i="11"/>
  <c r="R98" i="4"/>
  <c r="I98" i="11"/>
  <c r="H98" i="11"/>
  <c r="G98" i="11"/>
  <c r="F98" i="11"/>
  <c r="E98" i="11"/>
  <c r="A105" i="3"/>
  <c r="AB104" i="3"/>
  <c r="A99" i="11"/>
  <c r="H98" i="4"/>
  <c r="E98" i="4"/>
  <c r="G98" i="4"/>
  <c r="I98" i="4"/>
  <c r="O98" i="4"/>
  <c r="F98" i="4"/>
  <c r="J98" i="4"/>
  <c r="P98" i="4"/>
  <c r="B99" i="3"/>
  <c r="D99" i="4"/>
  <c r="O99" i="11" l="1"/>
  <c r="L99" i="11"/>
  <c r="R99" i="11"/>
  <c r="N99" i="11"/>
  <c r="K99" i="4"/>
  <c r="L99" i="4"/>
  <c r="Q99" i="11"/>
  <c r="J99" i="11"/>
  <c r="N99" i="4"/>
  <c r="M99" i="4"/>
  <c r="M99" i="11"/>
  <c r="K99" i="11"/>
  <c r="R99" i="4"/>
  <c r="I99" i="11"/>
  <c r="H99" i="11"/>
  <c r="G99" i="11"/>
  <c r="E99" i="11"/>
  <c r="F99" i="11"/>
  <c r="A106" i="3"/>
  <c r="AB105" i="3"/>
  <c r="A100" i="11"/>
  <c r="E99" i="4"/>
  <c r="F99" i="4"/>
  <c r="G99" i="4"/>
  <c r="J99" i="4"/>
  <c r="H99" i="4"/>
  <c r="I99" i="4"/>
  <c r="O99" i="4"/>
  <c r="P99" i="4"/>
  <c r="B100" i="3"/>
  <c r="D100" i="4"/>
  <c r="O100" i="11" l="1"/>
  <c r="L100" i="11"/>
  <c r="R100" i="11"/>
  <c r="N100" i="11"/>
  <c r="K100" i="4"/>
  <c r="L100" i="4"/>
  <c r="Q100" i="11"/>
  <c r="J100" i="11"/>
  <c r="N100" i="4"/>
  <c r="M100" i="4"/>
  <c r="M100" i="11"/>
  <c r="K100" i="11"/>
  <c r="R100" i="4"/>
  <c r="I100" i="11"/>
  <c r="H100" i="11"/>
  <c r="G100" i="11"/>
  <c r="F100" i="11"/>
  <c r="E100" i="11"/>
  <c r="A107" i="3"/>
  <c r="AB106" i="3"/>
  <c r="A101" i="11"/>
  <c r="B101" i="3"/>
  <c r="D101" i="4"/>
  <c r="I100" i="4"/>
  <c r="H100" i="4"/>
  <c r="P100" i="4"/>
  <c r="F100" i="4"/>
  <c r="J100" i="4"/>
  <c r="E100" i="4"/>
  <c r="O100" i="4"/>
  <c r="G100" i="4"/>
  <c r="O101" i="11" l="1"/>
  <c r="L101" i="11"/>
  <c r="R101" i="11"/>
  <c r="N101" i="11"/>
  <c r="K101" i="4"/>
  <c r="L101" i="4"/>
  <c r="Q101" i="11"/>
  <c r="J101" i="11"/>
  <c r="M101" i="4"/>
  <c r="N101" i="4"/>
  <c r="M101" i="11"/>
  <c r="K101" i="11"/>
  <c r="R101" i="4"/>
  <c r="I101" i="11"/>
  <c r="H101" i="11"/>
  <c r="G101" i="11"/>
  <c r="F101" i="11"/>
  <c r="E101" i="11"/>
  <c r="A108" i="3"/>
  <c r="AB107" i="3"/>
  <c r="A102" i="11"/>
  <c r="O101" i="4"/>
  <c r="H101" i="4"/>
  <c r="J101" i="4"/>
  <c r="F101" i="4"/>
  <c r="I101" i="4"/>
  <c r="G101" i="4"/>
  <c r="P101" i="4"/>
  <c r="E101" i="4"/>
  <c r="B102" i="3"/>
  <c r="D102" i="4"/>
  <c r="O102" i="11" l="1"/>
  <c r="L102" i="11"/>
  <c r="R102" i="11"/>
  <c r="N102" i="11"/>
  <c r="K102" i="4"/>
  <c r="L102" i="4"/>
  <c r="Q102" i="11"/>
  <c r="J102" i="11"/>
  <c r="N102" i="4"/>
  <c r="M102" i="4"/>
  <c r="M102" i="11"/>
  <c r="K102" i="11"/>
  <c r="R102" i="4"/>
  <c r="A109" i="3"/>
  <c r="AB108" i="3"/>
  <c r="I102" i="11"/>
  <c r="H102" i="11"/>
  <c r="G102" i="11"/>
  <c r="F102" i="11"/>
  <c r="E102" i="11"/>
  <c r="A103" i="11"/>
  <c r="B103" i="3"/>
  <c r="D103" i="4"/>
  <c r="O102" i="4"/>
  <c r="G102" i="4"/>
  <c r="E102" i="4"/>
  <c r="J102" i="4"/>
  <c r="I102" i="4"/>
  <c r="F102" i="4"/>
  <c r="P102" i="4"/>
  <c r="H102" i="4"/>
  <c r="O103" i="11" l="1"/>
  <c r="L103" i="11"/>
  <c r="R103" i="11"/>
  <c r="N103" i="11"/>
  <c r="K103" i="4"/>
  <c r="L103" i="4"/>
  <c r="Q103" i="11"/>
  <c r="J103" i="11"/>
  <c r="M103" i="4"/>
  <c r="N103" i="4"/>
  <c r="M103" i="11"/>
  <c r="K103" i="11"/>
  <c r="R103" i="4"/>
  <c r="I103" i="11"/>
  <c r="H103" i="11"/>
  <c r="G103" i="11"/>
  <c r="F103" i="11"/>
  <c r="E103" i="11"/>
  <c r="A110" i="3"/>
  <c r="AB109" i="3"/>
  <c r="A104" i="11"/>
  <c r="B104" i="3"/>
  <c r="D104" i="4"/>
  <c r="P103" i="4"/>
  <c r="J103" i="4"/>
  <c r="F103" i="4"/>
  <c r="H103" i="4"/>
  <c r="G103" i="4"/>
  <c r="I103" i="4"/>
  <c r="O103" i="4"/>
  <c r="E103" i="4"/>
  <c r="O104" i="11" l="1"/>
  <c r="L104" i="11"/>
  <c r="R104" i="11"/>
  <c r="N104" i="11"/>
  <c r="K104" i="4"/>
  <c r="L104" i="4"/>
  <c r="Q104" i="11"/>
  <c r="J104" i="11"/>
  <c r="M104" i="4"/>
  <c r="N104" i="4"/>
  <c r="R104" i="4"/>
  <c r="M104" i="11"/>
  <c r="K104" i="11"/>
  <c r="H104" i="11"/>
  <c r="G104" i="11"/>
  <c r="F104" i="11"/>
  <c r="E104" i="11"/>
  <c r="I104" i="11"/>
  <c r="A111" i="3"/>
  <c r="AB110" i="3"/>
  <c r="A105" i="11"/>
  <c r="I104" i="4"/>
  <c r="H104" i="4"/>
  <c r="E104" i="4"/>
  <c r="F104" i="4"/>
  <c r="O104" i="4"/>
  <c r="G104" i="4"/>
  <c r="J104" i="4"/>
  <c r="P104" i="4"/>
  <c r="B105" i="3"/>
  <c r="D105" i="4"/>
  <c r="O105" i="11" l="1"/>
  <c r="L105" i="11"/>
  <c r="R105" i="11"/>
  <c r="N105" i="11"/>
  <c r="Q105" i="11"/>
  <c r="J105" i="11"/>
  <c r="K105" i="4"/>
  <c r="L105" i="4"/>
  <c r="M105" i="4"/>
  <c r="N105" i="4"/>
  <c r="M105" i="11"/>
  <c r="K105" i="11"/>
  <c r="R105" i="4"/>
  <c r="I105" i="11"/>
  <c r="H105" i="11"/>
  <c r="G105" i="11"/>
  <c r="F105" i="11"/>
  <c r="E105" i="11"/>
  <c r="A112" i="3"/>
  <c r="AB111" i="3"/>
  <c r="A106" i="11"/>
  <c r="B106" i="3"/>
  <c r="D106" i="4"/>
  <c r="G105" i="4"/>
  <c r="E105" i="4"/>
  <c r="P105" i="4"/>
  <c r="H105" i="4"/>
  <c r="F105" i="4"/>
  <c r="I105" i="4"/>
  <c r="J105" i="4"/>
  <c r="O105" i="4"/>
  <c r="O106" i="11" l="1"/>
  <c r="L106" i="11"/>
  <c r="R106" i="11"/>
  <c r="N106" i="11"/>
  <c r="Q106" i="11"/>
  <c r="J106" i="11"/>
  <c r="K106" i="4"/>
  <c r="L106" i="4"/>
  <c r="N106" i="4"/>
  <c r="M106" i="4"/>
  <c r="K106" i="11"/>
  <c r="M106" i="11"/>
  <c r="R106" i="4"/>
  <c r="I106" i="11"/>
  <c r="H106" i="11"/>
  <c r="G106" i="11"/>
  <c r="F106" i="11"/>
  <c r="E106" i="11"/>
  <c r="A113" i="3"/>
  <c r="AB112" i="3"/>
  <c r="A107" i="11"/>
  <c r="P106" i="4"/>
  <c r="E106" i="4"/>
  <c r="J106" i="4"/>
  <c r="F106" i="4"/>
  <c r="H106" i="4"/>
  <c r="I106" i="4"/>
  <c r="G106" i="4"/>
  <c r="O106" i="4"/>
  <c r="B107" i="3"/>
  <c r="D107" i="4"/>
  <c r="O107" i="11" l="1"/>
  <c r="L107" i="11"/>
  <c r="R107" i="11"/>
  <c r="N107" i="11"/>
  <c r="K107" i="4"/>
  <c r="L107" i="4"/>
  <c r="Q107" i="11"/>
  <c r="J107" i="11"/>
  <c r="N107" i="4"/>
  <c r="M107" i="4"/>
  <c r="M107" i="11"/>
  <c r="K107" i="11"/>
  <c r="R107" i="4"/>
  <c r="I107" i="11"/>
  <c r="H107" i="11"/>
  <c r="G107" i="11"/>
  <c r="F107" i="11"/>
  <c r="E107" i="11"/>
  <c r="A114" i="3"/>
  <c r="AB113" i="3"/>
  <c r="A108" i="11"/>
  <c r="B108" i="3"/>
  <c r="D108" i="4"/>
  <c r="H107" i="4"/>
  <c r="O107" i="4"/>
  <c r="G107" i="4"/>
  <c r="I107" i="4"/>
  <c r="J107" i="4"/>
  <c r="P107" i="4"/>
  <c r="E107" i="4"/>
  <c r="F107" i="4"/>
  <c r="O108" i="11" l="1"/>
  <c r="L108" i="11"/>
  <c r="R108" i="11"/>
  <c r="N108" i="11"/>
  <c r="K108" i="4"/>
  <c r="L108" i="4"/>
  <c r="Q108" i="11"/>
  <c r="J108" i="11"/>
  <c r="M108" i="4"/>
  <c r="N108" i="4"/>
  <c r="M108" i="11"/>
  <c r="K108" i="11"/>
  <c r="R108" i="4"/>
  <c r="I108" i="11"/>
  <c r="H108" i="11"/>
  <c r="G108" i="11"/>
  <c r="F108" i="11"/>
  <c r="E108" i="11"/>
  <c r="A115" i="3"/>
  <c r="AB114" i="3"/>
  <c r="A109" i="11"/>
  <c r="B109" i="3"/>
  <c r="D109" i="4"/>
  <c r="I108" i="4"/>
  <c r="G108" i="4"/>
  <c r="P108" i="4"/>
  <c r="O108" i="4"/>
  <c r="H108" i="4"/>
  <c r="J108" i="4"/>
  <c r="E108" i="4"/>
  <c r="F108" i="4"/>
  <c r="O109" i="11" l="1"/>
  <c r="L109" i="11"/>
  <c r="R109" i="11"/>
  <c r="N109" i="11"/>
  <c r="K109" i="4"/>
  <c r="L109" i="4"/>
  <c r="Q109" i="11"/>
  <c r="J109" i="11"/>
  <c r="N109" i="4"/>
  <c r="M109" i="4"/>
  <c r="M109" i="11"/>
  <c r="K109" i="11"/>
  <c r="R109" i="4"/>
  <c r="I109" i="11"/>
  <c r="H109" i="11"/>
  <c r="G109" i="11"/>
  <c r="F109" i="11"/>
  <c r="E109" i="11"/>
  <c r="A116" i="3"/>
  <c r="AB115" i="3"/>
  <c r="A110" i="11"/>
  <c r="B110" i="3"/>
  <c r="D110" i="4"/>
  <c r="P109" i="4"/>
  <c r="E109" i="4"/>
  <c r="J109" i="4"/>
  <c r="F109" i="4"/>
  <c r="O109" i="4"/>
  <c r="I109" i="4"/>
  <c r="G109" i="4"/>
  <c r="H109" i="4"/>
  <c r="O110" i="11" l="1"/>
  <c r="L110" i="11"/>
  <c r="R110" i="11"/>
  <c r="N110" i="11"/>
  <c r="K110" i="4"/>
  <c r="L110" i="4"/>
  <c r="Q110" i="11"/>
  <c r="J110" i="11"/>
  <c r="N110" i="4"/>
  <c r="M110" i="4"/>
  <c r="M110" i="11"/>
  <c r="K110" i="11"/>
  <c r="R110" i="4"/>
  <c r="I110" i="11"/>
  <c r="H110" i="11"/>
  <c r="G110" i="11"/>
  <c r="F110" i="11"/>
  <c r="E110" i="11"/>
  <c r="A117" i="3"/>
  <c r="AB116" i="3"/>
  <c r="A111" i="11"/>
  <c r="B111" i="3"/>
  <c r="D111" i="4"/>
  <c r="J110" i="4"/>
  <c r="P110" i="4"/>
  <c r="H110" i="4"/>
  <c r="E110" i="4"/>
  <c r="F110" i="4"/>
  <c r="I110" i="4"/>
  <c r="O110" i="4"/>
  <c r="G110" i="4"/>
  <c r="O111" i="11" l="1"/>
  <c r="L111" i="11"/>
  <c r="R111" i="11"/>
  <c r="N111" i="11"/>
  <c r="K111" i="4"/>
  <c r="L111" i="4"/>
  <c r="Q111" i="11"/>
  <c r="J111" i="11"/>
  <c r="M111" i="4"/>
  <c r="N111" i="4"/>
  <c r="K111" i="11"/>
  <c r="M111" i="11"/>
  <c r="R111" i="4"/>
  <c r="I111" i="11"/>
  <c r="H111" i="11"/>
  <c r="G111" i="11"/>
  <c r="F111" i="11"/>
  <c r="E111" i="11"/>
  <c r="A118" i="3"/>
  <c r="AB117" i="3"/>
  <c r="A112" i="11"/>
  <c r="P111" i="4"/>
  <c r="E111" i="4"/>
  <c r="F111" i="4"/>
  <c r="I111" i="4"/>
  <c r="H111" i="4"/>
  <c r="O111" i="4"/>
  <c r="G111" i="4"/>
  <c r="J111" i="4"/>
  <c r="B112" i="3"/>
  <c r="D112" i="4"/>
  <c r="O112" i="11" l="1"/>
  <c r="L112" i="11"/>
  <c r="R112" i="11"/>
  <c r="N112" i="11"/>
  <c r="K112" i="4"/>
  <c r="L112" i="4"/>
  <c r="Q112" i="11"/>
  <c r="J112" i="11"/>
  <c r="N112" i="4"/>
  <c r="M112" i="4"/>
  <c r="M112" i="11"/>
  <c r="K112" i="11"/>
  <c r="R112" i="4"/>
  <c r="I112" i="11"/>
  <c r="H112" i="11"/>
  <c r="F112" i="11"/>
  <c r="E112" i="11"/>
  <c r="G112" i="11"/>
  <c r="A119" i="3"/>
  <c r="AB118" i="3"/>
  <c r="A113" i="11"/>
  <c r="J112" i="4"/>
  <c r="E112" i="4"/>
  <c r="I112" i="4"/>
  <c r="P112" i="4"/>
  <c r="O112" i="4"/>
  <c r="F112" i="4"/>
  <c r="H112" i="4"/>
  <c r="G112" i="4"/>
  <c r="B113" i="3"/>
  <c r="D113" i="4"/>
  <c r="O113" i="11" l="1"/>
  <c r="L113" i="11"/>
  <c r="R113" i="11"/>
  <c r="N113" i="11"/>
  <c r="Q113" i="11"/>
  <c r="J113" i="11"/>
  <c r="K113" i="4"/>
  <c r="L113" i="4"/>
  <c r="N113" i="4"/>
  <c r="M113" i="4"/>
  <c r="M113" i="11"/>
  <c r="K113" i="11"/>
  <c r="R113" i="4"/>
  <c r="A120" i="3"/>
  <c r="AB119" i="3"/>
  <c r="I113" i="11"/>
  <c r="H113" i="11"/>
  <c r="F113" i="11"/>
  <c r="E113" i="11"/>
  <c r="G113" i="11"/>
  <c r="A114" i="11"/>
  <c r="E113" i="4"/>
  <c r="G113" i="4"/>
  <c r="O113" i="4"/>
  <c r="H113" i="4"/>
  <c r="F113" i="4"/>
  <c r="I113" i="4"/>
  <c r="J113" i="4"/>
  <c r="P113" i="4"/>
  <c r="B114" i="3"/>
  <c r="D114" i="4"/>
  <c r="O114" i="11" l="1"/>
  <c r="L114" i="11"/>
  <c r="R114" i="11"/>
  <c r="N114" i="11"/>
  <c r="K114" i="4"/>
  <c r="L114" i="4"/>
  <c r="Q114" i="11"/>
  <c r="J114" i="11"/>
  <c r="N114" i="4"/>
  <c r="M114" i="4"/>
  <c r="K114" i="11"/>
  <c r="M114" i="11"/>
  <c r="R114" i="4"/>
  <c r="A121" i="3"/>
  <c r="AB120" i="3"/>
  <c r="I114" i="11"/>
  <c r="H114" i="11"/>
  <c r="G114" i="11"/>
  <c r="F114" i="11"/>
  <c r="E114" i="11"/>
  <c r="A115" i="11"/>
  <c r="B115" i="3"/>
  <c r="D115" i="4"/>
  <c r="J114" i="4"/>
  <c r="P114" i="4"/>
  <c r="H114" i="4"/>
  <c r="O114" i="4"/>
  <c r="F114" i="4"/>
  <c r="G114" i="4"/>
  <c r="I114" i="4"/>
  <c r="E114" i="4"/>
  <c r="O115" i="11" l="1"/>
  <c r="L115" i="11"/>
  <c r="R115" i="11"/>
  <c r="N115" i="11"/>
  <c r="K115" i="4"/>
  <c r="L115" i="4"/>
  <c r="Q115" i="11"/>
  <c r="J115" i="11"/>
  <c r="N115" i="4"/>
  <c r="M115" i="4"/>
  <c r="M115" i="11"/>
  <c r="K115" i="11"/>
  <c r="R115" i="4"/>
  <c r="I115" i="11"/>
  <c r="H115" i="11"/>
  <c r="G115" i="11"/>
  <c r="F115" i="11"/>
  <c r="E115" i="11"/>
  <c r="A122" i="3"/>
  <c r="AB121" i="3"/>
  <c r="A116" i="11"/>
  <c r="B116" i="3"/>
  <c r="D116" i="4"/>
  <c r="O115" i="4"/>
  <c r="F115" i="4"/>
  <c r="G115" i="4"/>
  <c r="I115" i="4"/>
  <c r="P115" i="4"/>
  <c r="E115" i="4"/>
  <c r="H115" i="4"/>
  <c r="J115" i="4"/>
  <c r="O116" i="11" l="1"/>
  <c r="L116" i="11"/>
  <c r="R116" i="11"/>
  <c r="N116" i="11"/>
  <c r="K116" i="4"/>
  <c r="L116" i="4"/>
  <c r="Q116" i="11"/>
  <c r="J116" i="11"/>
  <c r="M116" i="4"/>
  <c r="N116" i="4"/>
  <c r="M116" i="11"/>
  <c r="K116" i="11"/>
  <c r="R116" i="4"/>
  <c r="I116" i="11"/>
  <c r="H116" i="11"/>
  <c r="G116" i="11"/>
  <c r="F116" i="11"/>
  <c r="E116" i="11"/>
  <c r="A123" i="3"/>
  <c r="AB122" i="3"/>
  <c r="A117" i="11"/>
  <c r="B117" i="3"/>
  <c r="D117" i="4"/>
  <c r="P116" i="4"/>
  <c r="F116" i="4"/>
  <c r="H116" i="4"/>
  <c r="E116" i="4"/>
  <c r="I116" i="4"/>
  <c r="O116" i="4"/>
  <c r="G116" i="4"/>
  <c r="J116" i="4"/>
  <c r="O117" i="11" l="1"/>
  <c r="L117" i="11"/>
  <c r="R117" i="11"/>
  <c r="N117" i="11"/>
  <c r="Q117" i="11"/>
  <c r="J117" i="11"/>
  <c r="K117" i="4"/>
  <c r="L117" i="4"/>
  <c r="M117" i="4"/>
  <c r="N117" i="4"/>
  <c r="M117" i="11"/>
  <c r="K117" i="11"/>
  <c r="R117" i="4"/>
  <c r="I117" i="11"/>
  <c r="H117" i="11"/>
  <c r="G117" i="11"/>
  <c r="F117" i="11"/>
  <c r="E117" i="11"/>
  <c r="A124" i="3"/>
  <c r="AB123" i="3"/>
  <c r="A118" i="11"/>
  <c r="P117" i="4"/>
  <c r="F117" i="4"/>
  <c r="J117" i="4"/>
  <c r="H117" i="4"/>
  <c r="I117" i="4"/>
  <c r="G117" i="4"/>
  <c r="O117" i="4"/>
  <c r="E117" i="4"/>
  <c r="B118" i="3"/>
  <c r="D118" i="4"/>
  <c r="O118" i="11" l="1"/>
  <c r="L118" i="11"/>
  <c r="R118" i="11"/>
  <c r="N118" i="11"/>
  <c r="K118" i="4"/>
  <c r="L118" i="4"/>
  <c r="Q118" i="11"/>
  <c r="J118" i="11"/>
  <c r="M118" i="4"/>
  <c r="N118" i="4"/>
  <c r="M118" i="11"/>
  <c r="K118" i="11"/>
  <c r="R118" i="4"/>
  <c r="I118" i="11"/>
  <c r="H118" i="11"/>
  <c r="G118" i="11"/>
  <c r="F118" i="11"/>
  <c r="E118" i="11"/>
  <c r="A125" i="3"/>
  <c r="AB124" i="3"/>
  <c r="A119" i="11"/>
  <c r="B119" i="3"/>
  <c r="D119" i="4"/>
  <c r="I118" i="4"/>
  <c r="H118" i="4"/>
  <c r="P118" i="4"/>
  <c r="O118" i="4"/>
  <c r="G118" i="4"/>
  <c r="F118" i="4"/>
  <c r="J118" i="4"/>
  <c r="E118" i="4"/>
  <c r="O119" i="11" l="1"/>
  <c r="L119" i="11"/>
  <c r="R119" i="11"/>
  <c r="N119" i="11"/>
  <c r="K119" i="4"/>
  <c r="L119" i="4"/>
  <c r="Q119" i="11"/>
  <c r="J119" i="11"/>
  <c r="N119" i="4"/>
  <c r="M119" i="4"/>
  <c r="K119" i="11"/>
  <c r="M119" i="11"/>
  <c r="R119" i="4"/>
  <c r="I119" i="11"/>
  <c r="H119" i="11"/>
  <c r="G119" i="11"/>
  <c r="F119" i="11"/>
  <c r="E119" i="11"/>
  <c r="A126" i="3"/>
  <c r="AB125" i="3"/>
  <c r="A120" i="11"/>
  <c r="B120" i="3"/>
  <c r="D120" i="4"/>
  <c r="F119" i="4"/>
  <c r="I119" i="4"/>
  <c r="P119" i="4"/>
  <c r="E119" i="4"/>
  <c r="H119" i="4"/>
  <c r="O119" i="4"/>
  <c r="J119" i="4"/>
  <c r="G119" i="4"/>
  <c r="O120" i="11" l="1"/>
  <c r="L120" i="11"/>
  <c r="R120" i="11"/>
  <c r="N120" i="11"/>
  <c r="Q120" i="11"/>
  <c r="J120" i="11"/>
  <c r="K120" i="4"/>
  <c r="L120" i="4"/>
  <c r="N120" i="4"/>
  <c r="M120" i="4"/>
  <c r="M120" i="11"/>
  <c r="K120" i="11"/>
  <c r="R120" i="4"/>
  <c r="I120" i="11"/>
  <c r="F120" i="11"/>
  <c r="E120" i="11"/>
  <c r="H120" i="11"/>
  <c r="G120" i="11"/>
  <c r="A127" i="3"/>
  <c r="AB126" i="3"/>
  <c r="A121" i="11"/>
  <c r="H120" i="4"/>
  <c r="E120" i="4"/>
  <c r="J120" i="4"/>
  <c r="P120" i="4"/>
  <c r="G120" i="4"/>
  <c r="I120" i="4"/>
  <c r="F120" i="4"/>
  <c r="O120" i="4"/>
  <c r="B121" i="3"/>
  <c r="D121" i="4"/>
  <c r="O121" i="11" l="1"/>
  <c r="L121" i="11"/>
  <c r="R121" i="11"/>
  <c r="N121" i="11"/>
  <c r="K121" i="4"/>
  <c r="L121" i="4"/>
  <c r="Q121" i="11"/>
  <c r="J121" i="11"/>
  <c r="M121" i="4"/>
  <c r="N121" i="4"/>
  <c r="M121" i="11"/>
  <c r="K121" i="11"/>
  <c r="R121" i="4"/>
  <c r="G121" i="11"/>
  <c r="I121" i="11"/>
  <c r="F121" i="11"/>
  <c r="E121" i="11"/>
  <c r="H121" i="11"/>
  <c r="A128" i="3"/>
  <c r="AB127" i="3"/>
  <c r="A122" i="11"/>
  <c r="B122" i="3"/>
  <c r="D122" i="4"/>
  <c r="J121" i="4"/>
  <c r="G121" i="4"/>
  <c r="E121" i="4"/>
  <c r="O121" i="4"/>
  <c r="F121" i="4"/>
  <c r="P121" i="4"/>
  <c r="H121" i="4"/>
  <c r="I121" i="4"/>
  <c r="O122" i="11" l="1"/>
  <c r="L122" i="11"/>
  <c r="R122" i="11"/>
  <c r="N122" i="11"/>
  <c r="Q122" i="11"/>
  <c r="J122" i="11"/>
  <c r="K122" i="4"/>
  <c r="L122" i="4"/>
  <c r="N122" i="4"/>
  <c r="M122" i="4"/>
  <c r="K122" i="11"/>
  <c r="M122" i="11"/>
  <c r="R122" i="4"/>
  <c r="I122" i="11"/>
  <c r="H122" i="11"/>
  <c r="G122" i="11"/>
  <c r="F122" i="11"/>
  <c r="E122" i="11"/>
  <c r="A129" i="3"/>
  <c r="AB128" i="3"/>
  <c r="A123" i="11"/>
  <c r="J122" i="4"/>
  <c r="F122" i="4"/>
  <c r="O122" i="4"/>
  <c r="E122" i="4"/>
  <c r="H122" i="4"/>
  <c r="P122" i="4"/>
  <c r="G122" i="4"/>
  <c r="I122" i="4"/>
  <c r="B123" i="3"/>
  <c r="D123" i="4"/>
  <c r="O123" i="11" l="1"/>
  <c r="L123" i="11"/>
  <c r="R123" i="11"/>
  <c r="N123" i="11"/>
  <c r="K123" i="4"/>
  <c r="L123" i="4"/>
  <c r="Q123" i="11"/>
  <c r="J123" i="11"/>
  <c r="N123" i="4"/>
  <c r="M123" i="4"/>
  <c r="M123" i="11"/>
  <c r="K123" i="11"/>
  <c r="R123" i="4"/>
  <c r="A130" i="3"/>
  <c r="AB129" i="3"/>
  <c r="I123" i="11"/>
  <c r="H123" i="11"/>
  <c r="G123" i="11"/>
  <c r="F123" i="11"/>
  <c r="E123" i="11"/>
  <c r="A124" i="11"/>
  <c r="B124" i="3"/>
  <c r="D124" i="4"/>
  <c r="H123" i="4"/>
  <c r="P123" i="4"/>
  <c r="I123" i="4"/>
  <c r="G123" i="4"/>
  <c r="E123" i="4"/>
  <c r="J123" i="4"/>
  <c r="O123" i="4"/>
  <c r="F123" i="4"/>
  <c r="O124" i="11" l="1"/>
  <c r="L124" i="11"/>
  <c r="R124" i="11"/>
  <c r="N124" i="11"/>
  <c r="K124" i="4"/>
  <c r="L124" i="4"/>
  <c r="Q124" i="11"/>
  <c r="J124" i="11"/>
  <c r="M124" i="4"/>
  <c r="N124" i="4"/>
  <c r="M124" i="11"/>
  <c r="K124" i="11"/>
  <c r="R124" i="4"/>
  <c r="I124" i="11"/>
  <c r="H124" i="11"/>
  <c r="G124" i="11"/>
  <c r="F124" i="11"/>
  <c r="E124" i="11"/>
  <c r="A131" i="3"/>
  <c r="AB130" i="3"/>
  <c r="A125" i="11"/>
  <c r="H124" i="4"/>
  <c r="J124" i="4"/>
  <c r="F124" i="4"/>
  <c r="G124" i="4"/>
  <c r="E124" i="4"/>
  <c r="O124" i="4"/>
  <c r="I124" i="4"/>
  <c r="P124" i="4"/>
  <c r="B125" i="3"/>
  <c r="D125" i="4"/>
  <c r="O125" i="11" l="1"/>
  <c r="L125" i="11"/>
  <c r="R125" i="11"/>
  <c r="N125" i="11"/>
  <c r="K125" i="4"/>
  <c r="L125" i="4"/>
  <c r="Q125" i="11"/>
  <c r="J125" i="11"/>
  <c r="N125" i="4"/>
  <c r="M125" i="4"/>
  <c r="M125" i="11"/>
  <c r="K125" i="11"/>
  <c r="R125" i="4"/>
  <c r="I125" i="11"/>
  <c r="H125" i="11"/>
  <c r="G125" i="11"/>
  <c r="F125" i="11"/>
  <c r="E125" i="11"/>
  <c r="A132" i="3"/>
  <c r="AB131" i="3"/>
  <c r="A126" i="11"/>
  <c r="H125" i="4"/>
  <c r="O125" i="4"/>
  <c r="G125" i="4"/>
  <c r="I125" i="4"/>
  <c r="P125" i="4"/>
  <c r="E125" i="4"/>
  <c r="F125" i="4"/>
  <c r="J125" i="4"/>
  <c r="B126" i="3"/>
  <c r="D126" i="4"/>
  <c r="O126" i="11" l="1"/>
  <c r="L126" i="11"/>
  <c r="R126" i="11"/>
  <c r="N126" i="11"/>
  <c r="K126" i="4"/>
  <c r="L126" i="4"/>
  <c r="Q126" i="11"/>
  <c r="J126" i="11"/>
  <c r="N126" i="4"/>
  <c r="M126" i="4"/>
  <c r="M126" i="11"/>
  <c r="K126" i="11"/>
  <c r="R126" i="4"/>
  <c r="I126" i="11"/>
  <c r="H126" i="11"/>
  <c r="G126" i="11"/>
  <c r="F126" i="11"/>
  <c r="E126" i="11"/>
  <c r="A133" i="3"/>
  <c r="AB132" i="3"/>
  <c r="A127" i="11"/>
  <c r="G126" i="4"/>
  <c r="E126" i="4"/>
  <c r="P126" i="4"/>
  <c r="F126" i="4"/>
  <c r="O126" i="4"/>
  <c r="H126" i="4"/>
  <c r="J126" i="4"/>
  <c r="I126" i="4"/>
  <c r="B127" i="3"/>
  <c r="D127" i="4"/>
  <c r="O127" i="11" l="1"/>
  <c r="L127" i="11"/>
  <c r="R127" i="11"/>
  <c r="N127" i="11"/>
  <c r="K127" i="4"/>
  <c r="L127" i="4"/>
  <c r="Q127" i="11"/>
  <c r="J127" i="11"/>
  <c r="M127" i="4"/>
  <c r="N127" i="4"/>
  <c r="M127" i="11"/>
  <c r="K127" i="11"/>
  <c r="R127" i="4"/>
  <c r="I127" i="11"/>
  <c r="H127" i="11"/>
  <c r="G127" i="11"/>
  <c r="F127" i="11"/>
  <c r="E127" i="11"/>
  <c r="A134" i="3"/>
  <c r="AB133" i="3"/>
  <c r="A128" i="11"/>
  <c r="B128" i="3"/>
  <c r="D128" i="4"/>
  <c r="F127" i="4"/>
  <c r="H127" i="4"/>
  <c r="G127" i="4"/>
  <c r="I127" i="4"/>
  <c r="P127" i="4"/>
  <c r="O127" i="4"/>
  <c r="J127" i="4"/>
  <c r="E127" i="4"/>
  <c r="O128" i="11" l="1"/>
  <c r="L128" i="11"/>
  <c r="R128" i="11"/>
  <c r="N128" i="11"/>
  <c r="K128" i="4"/>
  <c r="L128" i="4"/>
  <c r="Q128" i="11"/>
  <c r="J128" i="11"/>
  <c r="M128" i="4"/>
  <c r="N128" i="4"/>
  <c r="M128" i="11"/>
  <c r="K128" i="11"/>
  <c r="R128" i="4"/>
  <c r="A135" i="3"/>
  <c r="AB134" i="3"/>
  <c r="G128" i="11"/>
  <c r="F128" i="11"/>
  <c r="E128" i="11"/>
  <c r="I128" i="11"/>
  <c r="H128" i="11"/>
  <c r="A129" i="11"/>
  <c r="J128" i="4"/>
  <c r="H128" i="4"/>
  <c r="G128" i="4"/>
  <c r="E128" i="4"/>
  <c r="P128" i="4"/>
  <c r="O128" i="4"/>
  <c r="I128" i="4"/>
  <c r="F128" i="4"/>
  <c r="B129" i="3"/>
  <c r="D129" i="4"/>
  <c r="O129" i="11" l="1"/>
  <c r="L129" i="11"/>
  <c r="R129" i="11"/>
  <c r="N129" i="11"/>
  <c r="K129" i="4"/>
  <c r="L129" i="4"/>
  <c r="Q129" i="11"/>
  <c r="J129" i="11"/>
  <c r="N129" i="4"/>
  <c r="M129" i="4"/>
  <c r="M129" i="11"/>
  <c r="K129" i="11"/>
  <c r="R129" i="4"/>
  <c r="H129" i="11"/>
  <c r="G129" i="11"/>
  <c r="F129" i="11"/>
  <c r="E129" i="11"/>
  <c r="I129" i="11"/>
  <c r="A136" i="3"/>
  <c r="AB135" i="3"/>
  <c r="A130" i="11"/>
  <c r="B130" i="3"/>
  <c r="D130" i="4"/>
  <c r="H129" i="4"/>
  <c r="E129" i="4"/>
  <c r="G129" i="4"/>
  <c r="F129" i="4"/>
  <c r="O129" i="4"/>
  <c r="P129" i="4"/>
  <c r="J129" i="4"/>
  <c r="I129" i="4"/>
  <c r="O130" i="11" l="1"/>
  <c r="L130" i="11"/>
  <c r="R130" i="11"/>
  <c r="N130" i="11"/>
  <c r="K130" i="4"/>
  <c r="L130" i="4"/>
  <c r="Q130" i="11"/>
  <c r="J130" i="11"/>
  <c r="N130" i="4"/>
  <c r="M130" i="4"/>
  <c r="M130" i="11"/>
  <c r="K130" i="11"/>
  <c r="R130" i="4"/>
  <c r="I130" i="11"/>
  <c r="H130" i="11"/>
  <c r="G130" i="11"/>
  <c r="F130" i="11"/>
  <c r="E130" i="11"/>
  <c r="A137" i="3"/>
  <c r="AB136" i="3"/>
  <c r="A131" i="11"/>
  <c r="J130" i="4"/>
  <c r="F130" i="4"/>
  <c r="I130" i="4"/>
  <c r="E130" i="4"/>
  <c r="G130" i="4"/>
  <c r="O130" i="4"/>
  <c r="H130" i="4"/>
  <c r="P130" i="4"/>
  <c r="B131" i="3"/>
  <c r="D131" i="4"/>
  <c r="O131" i="11" l="1"/>
  <c r="L131" i="11"/>
  <c r="R131" i="11"/>
  <c r="N131" i="11"/>
  <c r="K131" i="4"/>
  <c r="L131" i="4"/>
  <c r="Q131" i="11"/>
  <c r="J131" i="11"/>
  <c r="M131" i="4"/>
  <c r="N131" i="4"/>
  <c r="M131" i="11"/>
  <c r="K131" i="11"/>
  <c r="R131" i="4"/>
  <c r="I131" i="11"/>
  <c r="H131" i="11"/>
  <c r="G131" i="11"/>
  <c r="E131" i="11"/>
  <c r="F131" i="11"/>
  <c r="A138" i="3"/>
  <c r="AB137" i="3"/>
  <c r="A132" i="11"/>
  <c r="B132" i="3"/>
  <c r="D132" i="4"/>
  <c r="H131" i="4"/>
  <c r="G131" i="4"/>
  <c r="E131" i="4"/>
  <c r="O131" i="4"/>
  <c r="I131" i="4"/>
  <c r="P131" i="4"/>
  <c r="J131" i="4"/>
  <c r="F131" i="4"/>
  <c r="O132" i="11" l="1"/>
  <c r="L132" i="11"/>
  <c r="R132" i="11"/>
  <c r="N132" i="11"/>
  <c r="K132" i="4"/>
  <c r="L132" i="4"/>
  <c r="Q132" i="11"/>
  <c r="J132" i="11"/>
  <c r="N132" i="4"/>
  <c r="M132" i="4"/>
  <c r="M132" i="11"/>
  <c r="K132" i="11"/>
  <c r="R132" i="4"/>
  <c r="A139" i="3"/>
  <c r="AB138" i="3"/>
  <c r="I132" i="11"/>
  <c r="H132" i="11"/>
  <c r="G132" i="11"/>
  <c r="E132" i="11"/>
  <c r="F132" i="11"/>
  <c r="A133" i="11"/>
  <c r="B133" i="3"/>
  <c r="D133" i="4"/>
  <c r="H132" i="4"/>
  <c r="G132" i="4"/>
  <c r="I132" i="4"/>
  <c r="F132" i="4"/>
  <c r="P132" i="4"/>
  <c r="O132" i="4"/>
  <c r="J132" i="4"/>
  <c r="E132" i="4"/>
  <c r="O133" i="11" l="1"/>
  <c r="L133" i="11"/>
  <c r="R133" i="11"/>
  <c r="N133" i="11"/>
  <c r="Q133" i="11"/>
  <c r="J133" i="11"/>
  <c r="K133" i="4"/>
  <c r="L133" i="4"/>
  <c r="N133" i="4"/>
  <c r="M133" i="4"/>
  <c r="M133" i="11"/>
  <c r="K133" i="11"/>
  <c r="R133" i="4"/>
  <c r="I133" i="11"/>
  <c r="H133" i="11"/>
  <c r="G133" i="11"/>
  <c r="F133" i="11"/>
  <c r="E133" i="11"/>
  <c r="A140" i="3"/>
  <c r="AB139" i="3"/>
  <c r="A134" i="11"/>
  <c r="B134" i="3"/>
  <c r="D134" i="4"/>
  <c r="P133" i="4"/>
  <c r="F133" i="4"/>
  <c r="O133" i="4"/>
  <c r="E133" i="4"/>
  <c r="H133" i="4"/>
  <c r="G133" i="4"/>
  <c r="J133" i="4"/>
  <c r="I133" i="4"/>
  <c r="O134" i="11" l="1"/>
  <c r="L134" i="11"/>
  <c r="R134" i="11"/>
  <c r="N134" i="11"/>
  <c r="K134" i="4"/>
  <c r="L134" i="4"/>
  <c r="Q134" i="11"/>
  <c r="J134" i="11"/>
  <c r="N134" i="4"/>
  <c r="M134" i="4"/>
  <c r="M134" i="11"/>
  <c r="K134" i="11"/>
  <c r="R134" i="4"/>
  <c r="I134" i="11"/>
  <c r="H134" i="11"/>
  <c r="G134" i="11"/>
  <c r="F134" i="11"/>
  <c r="E134" i="11"/>
  <c r="A141" i="3"/>
  <c r="AB140" i="3"/>
  <c r="A135" i="11"/>
  <c r="H134" i="4"/>
  <c r="P134" i="4"/>
  <c r="E134" i="4"/>
  <c r="G134" i="4"/>
  <c r="O134" i="4"/>
  <c r="I134" i="4"/>
  <c r="J134" i="4"/>
  <c r="F134" i="4"/>
  <c r="B135" i="3"/>
  <c r="D135" i="4"/>
  <c r="O135" i="11" l="1"/>
  <c r="L135" i="11"/>
  <c r="R135" i="11"/>
  <c r="N135" i="11"/>
  <c r="Q135" i="11"/>
  <c r="J135" i="11"/>
  <c r="K135" i="4"/>
  <c r="L135" i="4"/>
  <c r="M135" i="4"/>
  <c r="N135" i="4"/>
  <c r="M135" i="11"/>
  <c r="K135" i="11"/>
  <c r="R135" i="4"/>
  <c r="I135" i="11"/>
  <c r="H135" i="11"/>
  <c r="G135" i="11"/>
  <c r="F135" i="11"/>
  <c r="E135" i="11"/>
  <c r="A142" i="3"/>
  <c r="AB141" i="3"/>
  <c r="A136" i="11"/>
  <c r="B136" i="3"/>
  <c r="D136" i="4"/>
  <c r="P135" i="4"/>
  <c r="I135" i="4"/>
  <c r="O135" i="4"/>
  <c r="H135" i="4"/>
  <c r="E135" i="4"/>
  <c r="F135" i="4"/>
  <c r="G135" i="4"/>
  <c r="J135" i="4"/>
  <c r="O136" i="11" l="1"/>
  <c r="L136" i="11"/>
  <c r="R136" i="11"/>
  <c r="N136" i="11"/>
  <c r="K136" i="4"/>
  <c r="L136" i="4"/>
  <c r="Q136" i="11"/>
  <c r="J136" i="11"/>
  <c r="M136" i="4"/>
  <c r="N136" i="4"/>
  <c r="M136" i="11"/>
  <c r="K136" i="11"/>
  <c r="R136" i="4"/>
  <c r="A143" i="3"/>
  <c r="AB142" i="3"/>
  <c r="H136" i="11"/>
  <c r="G136" i="11"/>
  <c r="F136" i="11"/>
  <c r="E136" i="11"/>
  <c r="I136" i="11"/>
  <c r="A137" i="11"/>
  <c r="B137" i="3"/>
  <c r="D137" i="4"/>
  <c r="H136" i="4"/>
  <c r="O136" i="4"/>
  <c r="G136" i="4"/>
  <c r="E136" i="4"/>
  <c r="F136" i="4"/>
  <c r="I136" i="4"/>
  <c r="J136" i="4"/>
  <c r="P136" i="4"/>
  <c r="O137" i="11" l="1"/>
  <c r="L137" i="11"/>
  <c r="R137" i="11"/>
  <c r="N137" i="11"/>
  <c r="K137" i="4"/>
  <c r="L137" i="4"/>
  <c r="Q137" i="11"/>
  <c r="J137" i="11"/>
  <c r="N137" i="4"/>
  <c r="M137" i="4"/>
  <c r="M137" i="11"/>
  <c r="K137" i="11"/>
  <c r="R137" i="4"/>
  <c r="I137" i="11"/>
  <c r="H137" i="11"/>
  <c r="G137" i="11"/>
  <c r="F137" i="11"/>
  <c r="E137" i="11"/>
  <c r="A144" i="3"/>
  <c r="AB143" i="3"/>
  <c r="A138" i="11"/>
  <c r="B138" i="3"/>
  <c r="D138" i="4"/>
  <c r="F137" i="4"/>
  <c r="G137" i="4"/>
  <c r="I137" i="4"/>
  <c r="J137" i="4"/>
  <c r="O137" i="4"/>
  <c r="H137" i="4"/>
  <c r="P137" i="4"/>
  <c r="E137" i="4"/>
  <c r="O138" i="11" l="1"/>
  <c r="L138" i="11"/>
  <c r="R138" i="11"/>
  <c r="N138" i="11"/>
  <c r="K138" i="4"/>
  <c r="L138" i="4"/>
  <c r="Q138" i="11"/>
  <c r="J138" i="11"/>
  <c r="N138" i="4"/>
  <c r="M138" i="4"/>
  <c r="M138" i="11"/>
  <c r="K138" i="11"/>
  <c r="R138" i="4"/>
  <c r="I138" i="11"/>
  <c r="H138" i="11"/>
  <c r="G138" i="11"/>
  <c r="F138" i="11"/>
  <c r="E138" i="11"/>
  <c r="A145" i="3"/>
  <c r="AB144" i="3"/>
  <c r="A139" i="11"/>
  <c r="P138" i="4"/>
  <c r="J138" i="4"/>
  <c r="H138" i="4"/>
  <c r="O138" i="4"/>
  <c r="E138" i="4"/>
  <c r="G138" i="4"/>
  <c r="I138" i="4"/>
  <c r="F138" i="4"/>
  <c r="B139" i="3"/>
  <c r="D139" i="4"/>
  <c r="O139" i="11" l="1"/>
  <c r="L139" i="11"/>
  <c r="R139" i="11"/>
  <c r="N139" i="11"/>
  <c r="K139" i="4"/>
  <c r="L139" i="4"/>
  <c r="Q139" i="11"/>
  <c r="J139" i="11"/>
  <c r="M139" i="4"/>
  <c r="N139" i="4"/>
  <c r="M139" i="11"/>
  <c r="K139" i="11"/>
  <c r="R139" i="4"/>
  <c r="I139" i="11"/>
  <c r="H139" i="11"/>
  <c r="G139" i="11"/>
  <c r="F139" i="11"/>
  <c r="E139" i="11"/>
  <c r="A146" i="3"/>
  <c r="AB145" i="3"/>
  <c r="A140" i="11"/>
  <c r="P139" i="4"/>
  <c r="G139" i="4"/>
  <c r="J139" i="4"/>
  <c r="E139" i="4"/>
  <c r="F139" i="4"/>
  <c r="O139" i="4"/>
  <c r="I139" i="4"/>
  <c r="H139" i="4"/>
  <c r="B140" i="3"/>
  <c r="D140" i="4"/>
  <c r="O140" i="11" l="1"/>
  <c r="L140" i="11"/>
  <c r="R140" i="11"/>
  <c r="N140" i="11"/>
  <c r="K140" i="4"/>
  <c r="L140" i="4"/>
  <c r="Q140" i="11"/>
  <c r="J140" i="11"/>
  <c r="N140" i="4"/>
  <c r="M140" i="4"/>
  <c r="M140" i="11"/>
  <c r="K140" i="11"/>
  <c r="R140" i="4"/>
  <c r="A147" i="3"/>
  <c r="AB146" i="3"/>
  <c r="I140" i="11"/>
  <c r="H140" i="11"/>
  <c r="G140" i="11"/>
  <c r="F140" i="11"/>
  <c r="E140" i="11"/>
  <c r="A141" i="11"/>
  <c r="B141" i="3"/>
  <c r="D141" i="4"/>
  <c r="H140" i="4"/>
  <c r="F140" i="4"/>
  <c r="G140" i="4"/>
  <c r="E140" i="4"/>
  <c r="P140" i="4"/>
  <c r="O140" i="4"/>
  <c r="I140" i="4"/>
  <c r="J140" i="4"/>
  <c r="O141" i="11" l="1"/>
  <c r="L141" i="11"/>
  <c r="R141" i="11"/>
  <c r="N141" i="11"/>
  <c r="Q141" i="11"/>
  <c r="J141" i="11"/>
  <c r="K141" i="4"/>
  <c r="L141" i="4"/>
  <c r="M141" i="4"/>
  <c r="N141" i="4"/>
  <c r="M141" i="11"/>
  <c r="K141" i="11"/>
  <c r="R141" i="4"/>
  <c r="I141" i="11"/>
  <c r="H141" i="11"/>
  <c r="G141" i="11"/>
  <c r="F141" i="11"/>
  <c r="E141" i="11"/>
  <c r="A148" i="3"/>
  <c r="AB147" i="3"/>
  <c r="A142" i="11"/>
  <c r="B142" i="3"/>
  <c r="D142" i="4"/>
  <c r="I141" i="4"/>
  <c r="J141" i="4"/>
  <c r="P141" i="4"/>
  <c r="H141" i="4"/>
  <c r="O141" i="4"/>
  <c r="G141" i="4"/>
  <c r="F141" i="4"/>
  <c r="E141" i="4"/>
  <c r="O142" i="11" l="1"/>
  <c r="L142" i="11"/>
  <c r="R142" i="11"/>
  <c r="N142" i="11"/>
  <c r="K142" i="4"/>
  <c r="L142" i="4"/>
  <c r="Q142" i="11"/>
  <c r="J142" i="11"/>
  <c r="M142" i="4"/>
  <c r="N142" i="4"/>
  <c r="M142" i="11"/>
  <c r="K142" i="11"/>
  <c r="R142" i="4"/>
  <c r="I142" i="11"/>
  <c r="H142" i="11"/>
  <c r="G142" i="11"/>
  <c r="F142" i="11"/>
  <c r="E142" i="11"/>
  <c r="A149" i="3"/>
  <c r="AB148" i="3"/>
  <c r="A143" i="11"/>
  <c r="B143" i="3"/>
  <c r="D143" i="4"/>
  <c r="J142" i="4"/>
  <c r="F142" i="4"/>
  <c r="I142" i="4"/>
  <c r="O142" i="4"/>
  <c r="H142" i="4"/>
  <c r="G142" i="4"/>
  <c r="P142" i="4"/>
  <c r="E142" i="4"/>
  <c r="O143" i="11" l="1"/>
  <c r="L143" i="11"/>
  <c r="R143" i="11"/>
  <c r="N143" i="11"/>
  <c r="Q143" i="11"/>
  <c r="J143" i="11"/>
  <c r="K143" i="4"/>
  <c r="L143" i="4"/>
  <c r="N143" i="4"/>
  <c r="M143" i="4"/>
  <c r="M143" i="11"/>
  <c r="K143" i="11"/>
  <c r="R143" i="4"/>
  <c r="I143" i="11"/>
  <c r="H143" i="11"/>
  <c r="G143" i="11"/>
  <c r="F143" i="11"/>
  <c r="E143" i="11"/>
  <c r="A150" i="3"/>
  <c r="AB149" i="3"/>
  <c r="A144" i="11"/>
  <c r="B144" i="3"/>
  <c r="D144" i="4"/>
  <c r="P143" i="4"/>
  <c r="G143" i="4"/>
  <c r="E143" i="4"/>
  <c r="H143" i="4"/>
  <c r="J143" i="4"/>
  <c r="F143" i="4"/>
  <c r="O143" i="4"/>
  <c r="I143" i="4"/>
  <c r="O144" i="11" l="1"/>
  <c r="L144" i="11"/>
  <c r="R144" i="11"/>
  <c r="N144" i="11"/>
  <c r="Q144" i="11"/>
  <c r="J144" i="11"/>
  <c r="K144" i="4"/>
  <c r="L144" i="4"/>
  <c r="M144" i="4"/>
  <c r="N144" i="4"/>
  <c r="M144" i="11"/>
  <c r="K144" i="11"/>
  <c r="R144" i="4"/>
  <c r="I144" i="11"/>
  <c r="H144" i="11"/>
  <c r="F144" i="11"/>
  <c r="E144" i="11"/>
  <c r="G144" i="11"/>
  <c r="A151" i="3"/>
  <c r="AB150" i="3"/>
  <c r="A145" i="11"/>
  <c r="F144" i="4"/>
  <c r="O144" i="4"/>
  <c r="H144" i="4"/>
  <c r="P144" i="4"/>
  <c r="E144" i="4"/>
  <c r="G144" i="4"/>
  <c r="J144" i="4"/>
  <c r="I144" i="4"/>
  <c r="B145" i="3"/>
  <c r="D145" i="4"/>
  <c r="O145" i="11" l="1"/>
  <c r="L145" i="11"/>
  <c r="R145" i="11"/>
  <c r="N145" i="11"/>
  <c r="K145" i="4"/>
  <c r="L145" i="4"/>
  <c r="Q145" i="11"/>
  <c r="J145" i="11"/>
  <c r="N145" i="4"/>
  <c r="M145" i="4"/>
  <c r="M145" i="11"/>
  <c r="K145" i="11"/>
  <c r="R145" i="4"/>
  <c r="I145" i="11"/>
  <c r="H145" i="11"/>
  <c r="F145" i="11"/>
  <c r="E145" i="11"/>
  <c r="G145" i="11"/>
  <c r="A152" i="3"/>
  <c r="AB151" i="3"/>
  <c r="A146" i="11"/>
  <c r="H145" i="4"/>
  <c r="G145" i="4"/>
  <c r="I145" i="4"/>
  <c r="E145" i="4"/>
  <c r="P145" i="4"/>
  <c r="F145" i="4"/>
  <c r="O145" i="4"/>
  <c r="J145" i="4"/>
  <c r="B146" i="3"/>
  <c r="D146" i="4"/>
  <c r="O146" i="11" l="1"/>
  <c r="L146" i="11"/>
  <c r="R146" i="11"/>
  <c r="N146" i="11"/>
  <c r="Q146" i="11"/>
  <c r="J146" i="11"/>
  <c r="K146" i="4"/>
  <c r="L146" i="4"/>
  <c r="N146" i="4"/>
  <c r="M146" i="4"/>
  <c r="M146" i="11"/>
  <c r="K146" i="11"/>
  <c r="R146" i="4"/>
  <c r="I146" i="11"/>
  <c r="H146" i="11"/>
  <c r="G146" i="11"/>
  <c r="F146" i="11"/>
  <c r="E146" i="11"/>
  <c r="A153" i="3"/>
  <c r="AB152" i="3"/>
  <c r="A147" i="11"/>
  <c r="B147" i="3"/>
  <c r="D147" i="4"/>
  <c r="H146" i="4"/>
  <c r="O146" i="4"/>
  <c r="J146" i="4"/>
  <c r="G146" i="4"/>
  <c r="I146" i="4"/>
  <c r="P146" i="4"/>
  <c r="F146" i="4"/>
  <c r="E146" i="4"/>
  <c r="O147" i="11" l="1"/>
  <c r="L147" i="11"/>
  <c r="R147" i="11"/>
  <c r="N147" i="11"/>
  <c r="K147" i="4"/>
  <c r="L147" i="4"/>
  <c r="Q147" i="11"/>
  <c r="J147" i="11"/>
  <c r="M147" i="4"/>
  <c r="N147" i="4"/>
  <c r="M147" i="11"/>
  <c r="K147" i="11"/>
  <c r="R147" i="4"/>
  <c r="I147" i="11"/>
  <c r="H147" i="11"/>
  <c r="G147" i="11"/>
  <c r="E147" i="11"/>
  <c r="F147" i="11"/>
  <c r="A154" i="3"/>
  <c r="AB153" i="3"/>
  <c r="A148" i="11"/>
  <c r="F147" i="4"/>
  <c r="E147" i="4"/>
  <c r="H147" i="4"/>
  <c r="G147" i="4"/>
  <c r="I147" i="4"/>
  <c r="J147" i="4"/>
  <c r="O147" i="4"/>
  <c r="P147" i="4"/>
  <c r="B148" i="3"/>
  <c r="D148" i="4"/>
  <c r="O148" i="11" l="1"/>
  <c r="L148" i="11"/>
  <c r="R148" i="11"/>
  <c r="N148" i="11"/>
  <c r="Q148" i="11"/>
  <c r="J148" i="11"/>
  <c r="K148" i="4"/>
  <c r="L148" i="4"/>
  <c r="N148" i="4"/>
  <c r="M148" i="4"/>
  <c r="M148" i="11"/>
  <c r="K148" i="11"/>
  <c r="R148" i="4"/>
  <c r="I148" i="11"/>
  <c r="H148" i="11"/>
  <c r="G148" i="11"/>
  <c r="F148" i="11"/>
  <c r="E148" i="11"/>
  <c r="A155" i="3"/>
  <c r="AB154" i="3"/>
  <c r="A149" i="11"/>
  <c r="B149" i="3"/>
  <c r="D149" i="4"/>
  <c r="P148" i="4"/>
  <c r="J148" i="4"/>
  <c r="G148" i="4"/>
  <c r="F148" i="4"/>
  <c r="O148" i="4"/>
  <c r="E148" i="4"/>
  <c r="H148" i="4"/>
  <c r="I148" i="4"/>
  <c r="O149" i="11" l="1"/>
  <c r="L149" i="11"/>
  <c r="R149" i="11"/>
  <c r="N149" i="11"/>
  <c r="K149" i="4"/>
  <c r="L149" i="4"/>
  <c r="Q149" i="11"/>
  <c r="J149" i="11"/>
  <c r="M149" i="4"/>
  <c r="N149" i="4"/>
  <c r="M149" i="11"/>
  <c r="K149" i="11"/>
  <c r="R149" i="4"/>
  <c r="I149" i="11"/>
  <c r="H149" i="11"/>
  <c r="G149" i="11"/>
  <c r="F149" i="11"/>
  <c r="E149" i="11"/>
  <c r="A156" i="3"/>
  <c r="AB155" i="3"/>
  <c r="A150" i="11"/>
  <c r="E149" i="4"/>
  <c r="F149" i="4"/>
  <c r="H149" i="4"/>
  <c r="I149" i="4"/>
  <c r="G149" i="4"/>
  <c r="J149" i="4"/>
  <c r="O149" i="4"/>
  <c r="P149" i="4"/>
  <c r="B150" i="3"/>
  <c r="D150" i="4"/>
  <c r="O150" i="11" l="1"/>
  <c r="L150" i="11"/>
  <c r="R150" i="11"/>
  <c r="N150" i="11"/>
  <c r="K150" i="4"/>
  <c r="L150" i="4"/>
  <c r="Q150" i="11"/>
  <c r="J150" i="11"/>
  <c r="M150" i="4"/>
  <c r="N150" i="4"/>
  <c r="M150" i="11"/>
  <c r="K150" i="11"/>
  <c r="R150" i="4"/>
  <c r="I150" i="11"/>
  <c r="H150" i="11"/>
  <c r="G150" i="11"/>
  <c r="F150" i="11"/>
  <c r="E150" i="11"/>
  <c r="A157" i="3"/>
  <c r="AB156" i="3"/>
  <c r="A151" i="11"/>
  <c r="H150" i="4"/>
  <c r="E150" i="4"/>
  <c r="I150" i="4"/>
  <c r="G150" i="4"/>
  <c r="J150" i="4"/>
  <c r="O150" i="4"/>
  <c r="P150" i="4"/>
  <c r="F150" i="4"/>
  <c r="B151" i="3"/>
  <c r="D151" i="4"/>
  <c r="O151" i="11" l="1"/>
  <c r="L151" i="11"/>
  <c r="R151" i="11"/>
  <c r="N151" i="11"/>
  <c r="K151" i="4"/>
  <c r="L151" i="4"/>
  <c r="Q151" i="11"/>
  <c r="J151" i="11"/>
  <c r="N151" i="4"/>
  <c r="M151" i="4"/>
  <c r="K151" i="11"/>
  <c r="M151" i="11"/>
  <c r="R151" i="4"/>
  <c r="I151" i="11"/>
  <c r="H151" i="11"/>
  <c r="G151" i="11"/>
  <c r="F151" i="11"/>
  <c r="E151" i="11"/>
  <c r="A158" i="3"/>
  <c r="AB157" i="3"/>
  <c r="A152" i="11"/>
  <c r="F151" i="4"/>
  <c r="O151" i="4"/>
  <c r="G151" i="4"/>
  <c r="E151" i="4"/>
  <c r="I151" i="4"/>
  <c r="H151" i="4"/>
  <c r="J151" i="4"/>
  <c r="P151" i="4"/>
  <c r="B152" i="3"/>
  <c r="D152" i="4"/>
  <c r="O152" i="11" l="1"/>
  <c r="L152" i="11"/>
  <c r="R152" i="11"/>
  <c r="N152" i="11"/>
  <c r="K152" i="4"/>
  <c r="L152" i="4"/>
  <c r="Q152" i="11"/>
  <c r="J152" i="11"/>
  <c r="N152" i="4"/>
  <c r="M152" i="4"/>
  <c r="M152" i="11"/>
  <c r="K152" i="11"/>
  <c r="R152" i="4"/>
  <c r="I152" i="11"/>
  <c r="F152" i="11"/>
  <c r="E152" i="11"/>
  <c r="H152" i="11"/>
  <c r="G152" i="11"/>
  <c r="A159" i="3"/>
  <c r="AB158" i="3"/>
  <c r="A153" i="11"/>
  <c r="O152" i="4"/>
  <c r="I152" i="4"/>
  <c r="P152" i="4"/>
  <c r="J152" i="4"/>
  <c r="H152" i="4"/>
  <c r="G152" i="4"/>
  <c r="F152" i="4"/>
  <c r="E152" i="4"/>
  <c r="B153" i="3"/>
  <c r="D153" i="4"/>
  <c r="O153" i="11" l="1"/>
  <c r="L153" i="11"/>
  <c r="R153" i="11"/>
  <c r="N153" i="11"/>
  <c r="K153" i="4"/>
  <c r="L153" i="4"/>
  <c r="Q153" i="11"/>
  <c r="J153" i="11"/>
  <c r="N153" i="4"/>
  <c r="M153" i="4"/>
  <c r="M153" i="11"/>
  <c r="K153" i="11"/>
  <c r="R153" i="4"/>
  <c r="G153" i="11"/>
  <c r="I153" i="11"/>
  <c r="F153" i="11"/>
  <c r="E153" i="11"/>
  <c r="H153" i="11"/>
  <c r="A160" i="3"/>
  <c r="AB159" i="3"/>
  <c r="A154" i="11"/>
  <c r="G153" i="4"/>
  <c r="H153" i="4"/>
  <c r="I153" i="4"/>
  <c r="O153" i="4"/>
  <c r="J153" i="4"/>
  <c r="E153" i="4"/>
  <c r="P153" i="4"/>
  <c r="F153" i="4"/>
  <c r="B154" i="3"/>
  <c r="D154" i="4"/>
  <c r="O154" i="11" l="1"/>
  <c r="L154" i="11"/>
  <c r="R154" i="11"/>
  <c r="N154" i="11"/>
  <c r="K154" i="4"/>
  <c r="L154" i="4"/>
  <c r="Q154" i="11"/>
  <c r="J154" i="11"/>
  <c r="N154" i="4"/>
  <c r="M154" i="4"/>
  <c r="K154" i="11"/>
  <c r="M154" i="11"/>
  <c r="R154" i="4"/>
  <c r="A161" i="3"/>
  <c r="AB160" i="3"/>
  <c r="I154" i="11"/>
  <c r="H154" i="11"/>
  <c r="G154" i="11"/>
  <c r="F154" i="11"/>
  <c r="E154" i="11"/>
  <c r="A155" i="11"/>
  <c r="B155" i="3"/>
  <c r="D155" i="4"/>
  <c r="P154" i="4"/>
  <c r="H154" i="4"/>
  <c r="O154" i="4"/>
  <c r="F154" i="4"/>
  <c r="G154" i="4"/>
  <c r="I154" i="4"/>
  <c r="E154" i="4"/>
  <c r="J154" i="4"/>
  <c r="O155" i="11" l="1"/>
  <c r="L155" i="11"/>
  <c r="R155" i="11"/>
  <c r="N155" i="11"/>
  <c r="K155" i="4"/>
  <c r="L155" i="4"/>
  <c r="Q155" i="11"/>
  <c r="J155" i="11"/>
  <c r="M155" i="4"/>
  <c r="N155" i="4"/>
  <c r="M155" i="11"/>
  <c r="K155" i="11"/>
  <c r="R155" i="4"/>
  <c r="I155" i="11"/>
  <c r="H155" i="11"/>
  <c r="G155" i="11"/>
  <c r="F155" i="11"/>
  <c r="E155" i="11"/>
  <c r="A162" i="3"/>
  <c r="AB161" i="3"/>
  <c r="A156" i="11"/>
  <c r="B156" i="3"/>
  <c r="D156" i="4"/>
  <c r="J155" i="4"/>
  <c r="P155" i="4"/>
  <c r="G155" i="4"/>
  <c r="E155" i="4"/>
  <c r="O155" i="4"/>
  <c r="H155" i="4"/>
  <c r="F155" i="4"/>
  <c r="I155" i="4"/>
  <c r="O156" i="11" l="1"/>
  <c r="L156" i="11"/>
  <c r="R156" i="11"/>
  <c r="N156" i="11"/>
  <c r="K156" i="4"/>
  <c r="L156" i="4"/>
  <c r="Q156" i="11"/>
  <c r="J156" i="11"/>
  <c r="N156" i="4"/>
  <c r="M156" i="4"/>
  <c r="M156" i="11"/>
  <c r="K156" i="11"/>
  <c r="R156" i="4"/>
  <c r="I156" i="11"/>
  <c r="H156" i="11"/>
  <c r="G156" i="11"/>
  <c r="E156" i="11"/>
  <c r="F156" i="11"/>
  <c r="A163" i="3"/>
  <c r="AB162" i="3"/>
  <c r="A157" i="11"/>
  <c r="J156" i="4"/>
  <c r="F156" i="4"/>
  <c r="O156" i="4"/>
  <c r="E156" i="4"/>
  <c r="H156" i="4"/>
  <c r="G156" i="4"/>
  <c r="I156" i="4"/>
  <c r="P156" i="4"/>
  <c r="B157" i="3"/>
  <c r="D157" i="4"/>
  <c r="O157" i="11" l="1"/>
  <c r="L157" i="11"/>
  <c r="R157" i="11"/>
  <c r="N157" i="11"/>
  <c r="K157" i="4"/>
  <c r="L157" i="4"/>
  <c r="Q157" i="11"/>
  <c r="J157" i="11"/>
  <c r="M157" i="4"/>
  <c r="N157" i="4"/>
  <c r="M157" i="11"/>
  <c r="K157" i="11"/>
  <c r="R157" i="4"/>
  <c r="I157" i="11"/>
  <c r="H157" i="11"/>
  <c r="G157" i="11"/>
  <c r="F157" i="11"/>
  <c r="E157" i="11"/>
  <c r="A164" i="3"/>
  <c r="AB163" i="3"/>
  <c r="A158" i="11"/>
  <c r="H157" i="4"/>
  <c r="G157" i="4"/>
  <c r="J157" i="4"/>
  <c r="E157" i="4"/>
  <c r="P157" i="4"/>
  <c r="F157" i="4"/>
  <c r="I157" i="4"/>
  <c r="O157" i="4"/>
  <c r="B158" i="3"/>
  <c r="D158" i="4"/>
  <c r="O158" i="11" l="1"/>
  <c r="L158" i="11"/>
  <c r="R158" i="11"/>
  <c r="N158" i="11"/>
  <c r="K158" i="4"/>
  <c r="L158" i="4"/>
  <c r="Q158" i="11"/>
  <c r="J158" i="11"/>
  <c r="M158" i="4"/>
  <c r="N158" i="4"/>
  <c r="M158" i="11"/>
  <c r="K158" i="11"/>
  <c r="R158" i="4"/>
  <c r="I158" i="11"/>
  <c r="H158" i="11"/>
  <c r="G158" i="11"/>
  <c r="F158" i="11"/>
  <c r="E158" i="11"/>
  <c r="A165" i="3"/>
  <c r="AB164" i="3"/>
  <c r="A159" i="11"/>
  <c r="B159" i="3"/>
  <c r="D159" i="4"/>
  <c r="J158" i="4"/>
  <c r="P158" i="4"/>
  <c r="G158" i="4"/>
  <c r="H158" i="4"/>
  <c r="E158" i="4"/>
  <c r="O158" i="4"/>
  <c r="I158" i="4"/>
  <c r="F158" i="4"/>
  <c r="O159" i="11" l="1"/>
  <c r="L159" i="11"/>
  <c r="R159" i="11"/>
  <c r="N159" i="11"/>
  <c r="Q159" i="11"/>
  <c r="J159" i="11"/>
  <c r="K159" i="4"/>
  <c r="L159" i="4"/>
  <c r="N159" i="4"/>
  <c r="M159" i="4"/>
  <c r="M159" i="11"/>
  <c r="K159" i="11"/>
  <c r="R159" i="4"/>
  <c r="A166" i="3"/>
  <c r="AB165" i="3"/>
  <c r="I159" i="11"/>
  <c r="H159" i="11"/>
  <c r="G159" i="11"/>
  <c r="F159" i="11"/>
  <c r="E159" i="11"/>
  <c r="A160" i="11"/>
  <c r="E159" i="4"/>
  <c r="F159" i="4"/>
  <c r="H159" i="4"/>
  <c r="G159" i="4"/>
  <c r="O159" i="4"/>
  <c r="P159" i="4"/>
  <c r="I159" i="4"/>
  <c r="J159" i="4"/>
  <c r="B160" i="3"/>
  <c r="D160" i="4"/>
  <c r="O160" i="11" l="1"/>
  <c r="L160" i="11"/>
  <c r="R160" i="11"/>
  <c r="N160" i="11"/>
  <c r="K160" i="4"/>
  <c r="L160" i="4"/>
  <c r="Q160" i="11"/>
  <c r="J160" i="11"/>
  <c r="N160" i="4"/>
  <c r="M160" i="4"/>
  <c r="M160" i="11"/>
  <c r="K160" i="11"/>
  <c r="R160" i="4"/>
  <c r="G160" i="11"/>
  <c r="F160" i="11"/>
  <c r="E160" i="11"/>
  <c r="I160" i="11"/>
  <c r="H160" i="11"/>
  <c r="A167" i="3"/>
  <c r="AB166" i="3"/>
  <c r="A161" i="11"/>
  <c r="B161" i="3"/>
  <c r="D161" i="4"/>
  <c r="H160" i="4"/>
  <c r="J160" i="4"/>
  <c r="G160" i="4"/>
  <c r="I160" i="4"/>
  <c r="E160" i="4"/>
  <c r="P160" i="4"/>
  <c r="O160" i="4"/>
  <c r="F160" i="4"/>
  <c r="O161" i="11" l="1"/>
  <c r="L161" i="11"/>
  <c r="R161" i="11"/>
  <c r="N161" i="11"/>
  <c r="K161" i="4"/>
  <c r="L161" i="4"/>
  <c r="Q161" i="11"/>
  <c r="J161" i="11"/>
  <c r="N161" i="4"/>
  <c r="M161" i="4"/>
  <c r="M161" i="11"/>
  <c r="K161" i="11"/>
  <c r="R161" i="4"/>
  <c r="H161" i="11"/>
  <c r="G161" i="11"/>
  <c r="F161" i="11"/>
  <c r="E161" i="11"/>
  <c r="I161" i="11"/>
  <c r="A168" i="3"/>
  <c r="AB167" i="3"/>
  <c r="A162" i="11"/>
  <c r="B162" i="3"/>
  <c r="D162" i="4"/>
  <c r="H161" i="4"/>
  <c r="G161" i="4"/>
  <c r="I161" i="4"/>
  <c r="F161" i="4"/>
  <c r="E161" i="4"/>
  <c r="O161" i="4"/>
  <c r="J161" i="4"/>
  <c r="P161" i="4"/>
  <c r="O162" i="11" l="1"/>
  <c r="L162" i="11"/>
  <c r="R162" i="11"/>
  <c r="N162" i="11"/>
  <c r="K162" i="4"/>
  <c r="L162" i="4"/>
  <c r="Q162" i="11"/>
  <c r="J162" i="11"/>
  <c r="N162" i="4"/>
  <c r="M162" i="4"/>
  <c r="M162" i="11"/>
  <c r="K162" i="11"/>
  <c r="R162" i="4"/>
  <c r="I162" i="11"/>
  <c r="H162" i="11"/>
  <c r="G162" i="11"/>
  <c r="F162" i="11"/>
  <c r="E162" i="11"/>
  <c r="A169" i="3"/>
  <c r="AB168" i="3"/>
  <c r="A163" i="11"/>
  <c r="B163" i="3"/>
  <c r="D163" i="4"/>
  <c r="E162" i="4"/>
  <c r="H162" i="4"/>
  <c r="F162" i="4"/>
  <c r="I162" i="4"/>
  <c r="G162" i="4"/>
  <c r="O162" i="4"/>
  <c r="J162" i="4"/>
  <c r="P162" i="4"/>
  <c r="O163" i="11" l="1"/>
  <c r="L163" i="11"/>
  <c r="R163" i="11"/>
  <c r="N163" i="11"/>
  <c r="K163" i="4"/>
  <c r="L163" i="4"/>
  <c r="Q163" i="11"/>
  <c r="J163" i="11"/>
  <c r="N163" i="4"/>
  <c r="M163" i="4"/>
  <c r="M163" i="11"/>
  <c r="K163" i="11"/>
  <c r="R163" i="4"/>
  <c r="I163" i="11"/>
  <c r="H163" i="11"/>
  <c r="G163" i="11"/>
  <c r="E163" i="11"/>
  <c r="F163" i="11"/>
  <c r="A170" i="3"/>
  <c r="AB169" i="3"/>
  <c r="A164" i="11"/>
  <c r="B164" i="3"/>
  <c r="D164" i="4"/>
  <c r="I163" i="4"/>
  <c r="F163" i="4"/>
  <c r="H163" i="4"/>
  <c r="G163" i="4"/>
  <c r="P163" i="4"/>
  <c r="O163" i="4"/>
  <c r="J163" i="4"/>
  <c r="E163" i="4"/>
  <c r="O164" i="11" l="1"/>
  <c r="L164" i="11"/>
  <c r="R164" i="11"/>
  <c r="N164" i="11"/>
  <c r="K164" i="4"/>
  <c r="L164" i="4"/>
  <c r="Q164" i="11"/>
  <c r="J164" i="11"/>
  <c r="N164" i="4"/>
  <c r="M164" i="4"/>
  <c r="M164" i="11"/>
  <c r="K164" i="11"/>
  <c r="R164" i="4"/>
  <c r="A171" i="3"/>
  <c r="AB170" i="3"/>
  <c r="I164" i="11"/>
  <c r="H164" i="11"/>
  <c r="G164" i="11"/>
  <c r="E164" i="11"/>
  <c r="F164" i="11"/>
  <c r="A165" i="11"/>
  <c r="O164" i="4"/>
  <c r="P164" i="4"/>
  <c r="E164" i="4"/>
  <c r="J164" i="4"/>
  <c r="F164" i="4"/>
  <c r="G164" i="4"/>
  <c r="H164" i="4"/>
  <c r="I164" i="4"/>
  <c r="B165" i="3"/>
  <c r="D165" i="4"/>
  <c r="O165" i="11" l="1"/>
  <c r="L165" i="11"/>
  <c r="R165" i="11"/>
  <c r="N165" i="11"/>
  <c r="K165" i="4"/>
  <c r="L165" i="4"/>
  <c r="Q165" i="11"/>
  <c r="J165" i="11"/>
  <c r="M165" i="4"/>
  <c r="N165" i="4"/>
  <c r="M165" i="11"/>
  <c r="K165" i="11"/>
  <c r="R165" i="4"/>
  <c r="I165" i="11"/>
  <c r="H165" i="11"/>
  <c r="G165" i="11"/>
  <c r="F165" i="11"/>
  <c r="E165" i="11"/>
  <c r="A172" i="3"/>
  <c r="AB171" i="3"/>
  <c r="A166" i="11"/>
  <c r="B166" i="3"/>
  <c r="D166" i="4"/>
  <c r="H165" i="4"/>
  <c r="G165" i="4"/>
  <c r="I165" i="4"/>
  <c r="O165" i="4"/>
  <c r="J165" i="4"/>
  <c r="F165" i="4"/>
  <c r="P165" i="4"/>
  <c r="E165" i="4"/>
  <c r="O166" i="11" l="1"/>
  <c r="L166" i="11"/>
  <c r="R166" i="11"/>
  <c r="N166" i="11"/>
  <c r="K166" i="4"/>
  <c r="L166" i="4"/>
  <c r="Q166" i="11"/>
  <c r="J166" i="11"/>
  <c r="M166" i="4"/>
  <c r="N166" i="4"/>
  <c r="M166" i="11"/>
  <c r="K166" i="11"/>
  <c r="R166" i="4"/>
  <c r="I166" i="11"/>
  <c r="H166" i="11"/>
  <c r="G166" i="11"/>
  <c r="F166" i="11"/>
  <c r="E166" i="11"/>
  <c r="A173" i="3"/>
  <c r="AB172" i="3"/>
  <c r="A167" i="11"/>
  <c r="G166" i="4"/>
  <c r="P166" i="4"/>
  <c r="H166" i="4"/>
  <c r="I166" i="4"/>
  <c r="E166" i="4"/>
  <c r="O166" i="4"/>
  <c r="J166" i="4"/>
  <c r="F166" i="4"/>
  <c r="B167" i="3"/>
  <c r="D167" i="4"/>
  <c r="O167" i="11" l="1"/>
  <c r="L167" i="11"/>
  <c r="R167" i="11"/>
  <c r="N167" i="11"/>
  <c r="K167" i="4"/>
  <c r="L167" i="4"/>
  <c r="Q167" i="11"/>
  <c r="J167" i="11"/>
  <c r="N167" i="4"/>
  <c r="M167" i="4"/>
  <c r="M167" i="11"/>
  <c r="K167" i="11"/>
  <c r="R167" i="4"/>
  <c r="A174" i="3"/>
  <c r="AB173" i="3"/>
  <c r="I167" i="11"/>
  <c r="H167" i="11"/>
  <c r="G167" i="11"/>
  <c r="F167" i="11"/>
  <c r="E167" i="11"/>
  <c r="A168" i="11"/>
  <c r="B168" i="3"/>
  <c r="D168" i="4"/>
  <c r="E167" i="4"/>
  <c r="J167" i="4"/>
  <c r="F167" i="4"/>
  <c r="G167" i="4"/>
  <c r="O167" i="4"/>
  <c r="I167" i="4"/>
  <c r="H167" i="4"/>
  <c r="P167" i="4"/>
  <c r="O168" i="11" l="1"/>
  <c r="L168" i="11"/>
  <c r="R168" i="11"/>
  <c r="N168" i="11"/>
  <c r="K168" i="4"/>
  <c r="L168" i="4"/>
  <c r="Q168" i="11"/>
  <c r="J168" i="11"/>
  <c r="N168" i="4"/>
  <c r="M168" i="4"/>
  <c r="M168" i="11"/>
  <c r="K168" i="11"/>
  <c r="R168" i="4"/>
  <c r="H168" i="11"/>
  <c r="G168" i="11"/>
  <c r="F168" i="11"/>
  <c r="E168" i="11"/>
  <c r="I168" i="11"/>
  <c r="A175" i="3"/>
  <c r="AB174" i="3"/>
  <c r="A169" i="11"/>
  <c r="H168" i="4"/>
  <c r="G168" i="4"/>
  <c r="I168" i="4"/>
  <c r="O168" i="4"/>
  <c r="F168" i="4"/>
  <c r="E168" i="4"/>
  <c r="J168" i="4"/>
  <c r="P168" i="4"/>
  <c r="B169" i="3"/>
  <c r="D169" i="4"/>
  <c r="O169" i="11" l="1"/>
  <c r="L169" i="11"/>
  <c r="R169" i="11"/>
  <c r="N169" i="11"/>
  <c r="Q169" i="11"/>
  <c r="J169" i="11"/>
  <c r="K169" i="4"/>
  <c r="L169" i="4"/>
  <c r="N169" i="4"/>
  <c r="M169" i="4"/>
  <c r="M169" i="11"/>
  <c r="K169" i="11"/>
  <c r="R169" i="4"/>
  <c r="I169" i="11"/>
  <c r="H169" i="11"/>
  <c r="G169" i="11"/>
  <c r="F169" i="11"/>
  <c r="E169" i="11"/>
  <c r="A176" i="3"/>
  <c r="AB175" i="3"/>
  <c r="A170" i="11"/>
  <c r="B170" i="3"/>
  <c r="D170" i="4"/>
  <c r="F169" i="4"/>
  <c r="E169" i="4"/>
  <c r="H169" i="4"/>
  <c r="I169" i="4"/>
  <c r="O169" i="4"/>
  <c r="G169" i="4"/>
  <c r="P169" i="4"/>
  <c r="J169" i="4"/>
  <c r="O170" i="11" l="1"/>
  <c r="L170" i="11"/>
  <c r="R170" i="11"/>
  <c r="N170" i="11"/>
  <c r="K170" i="4"/>
  <c r="L170" i="4"/>
  <c r="Q170" i="11"/>
  <c r="J170" i="11"/>
  <c r="N170" i="4"/>
  <c r="M170" i="4"/>
  <c r="K170" i="11"/>
  <c r="M170" i="11"/>
  <c r="R170" i="4"/>
  <c r="A177" i="3"/>
  <c r="AB176" i="3"/>
  <c r="I170" i="11"/>
  <c r="H170" i="11"/>
  <c r="G170" i="11"/>
  <c r="F170" i="11"/>
  <c r="E170" i="11"/>
  <c r="A171" i="11"/>
  <c r="P170" i="4"/>
  <c r="F170" i="4"/>
  <c r="G170" i="4"/>
  <c r="H170" i="4"/>
  <c r="I170" i="4"/>
  <c r="E170" i="4"/>
  <c r="O170" i="4"/>
  <c r="J170" i="4"/>
  <c r="B171" i="3"/>
  <c r="D171" i="4"/>
  <c r="O171" i="11" l="1"/>
  <c r="L171" i="11"/>
  <c r="R171" i="11"/>
  <c r="N171" i="11"/>
  <c r="Q171" i="11"/>
  <c r="J171" i="11"/>
  <c r="K171" i="4"/>
  <c r="L171" i="4"/>
  <c r="M171" i="4"/>
  <c r="N171" i="4"/>
  <c r="M171" i="11"/>
  <c r="K171" i="11"/>
  <c r="R171" i="4"/>
  <c r="I171" i="11"/>
  <c r="H171" i="11"/>
  <c r="G171" i="11"/>
  <c r="F171" i="11"/>
  <c r="E171" i="11"/>
  <c r="A178" i="3"/>
  <c r="AB177" i="3"/>
  <c r="A172" i="11"/>
  <c r="F171" i="4"/>
  <c r="E171" i="4"/>
  <c r="I171" i="4"/>
  <c r="H171" i="4"/>
  <c r="O171" i="4"/>
  <c r="G171" i="4"/>
  <c r="J171" i="4"/>
  <c r="P171" i="4"/>
  <c r="B172" i="3"/>
  <c r="D172" i="4"/>
  <c r="O172" i="11" l="1"/>
  <c r="L172" i="11"/>
  <c r="R172" i="11"/>
  <c r="N172" i="11"/>
  <c r="K172" i="4"/>
  <c r="L172" i="4"/>
  <c r="Q172" i="11"/>
  <c r="J172" i="11"/>
  <c r="M172" i="4"/>
  <c r="N172" i="4"/>
  <c r="M172" i="11"/>
  <c r="K172" i="11"/>
  <c r="R172" i="4"/>
  <c r="A179" i="3"/>
  <c r="AB178" i="3"/>
  <c r="I172" i="11"/>
  <c r="H172" i="11"/>
  <c r="G172" i="11"/>
  <c r="F172" i="11"/>
  <c r="E172" i="11"/>
  <c r="A173" i="11"/>
  <c r="H172" i="4"/>
  <c r="G172" i="4"/>
  <c r="F172" i="4"/>
  <c r="I172" i="4"/>
  <c r="J172" i="4"/>
  <c r="O172" i="4"/>
  <c r="E172" i="4"/>
  <c r="P172" i="4"/>
  <c r="B173" i="3"/>
  <c r="D173" i="4"/>
  <c r="O173" i="11" l="1"/>
  <c r="L173" i="11"/>
  <c r="R173" i="11"/>
  <c r="N173" i="11"/>
  <c r="K173" i="4"/>
  <c r="L173" i="4"/>
  <c r="Q173" i="11"/>
  <c r="J173" i="11"/>
  <c r="M173" i="4"/>
  <c r="N173" i="4"/>
  <c r="M173" i="11"/>
  <c r="K173" i="11"/>
  <c r="R173" i="4"/>
  <c r="I173" i="11"/>
  <c r="H173" i="11"/>
  <c r="G173" i="11"/>
  <c r="F173" i="11"/>
  <c r="E173" i="11"/>
  <c r="A180" i="3"/>
  <c r="AB179" i="3"/>
  <c r="A174" i="11"/>
  <c r="B174" i="3"/>
  <c r="D174" i="4"/>
  <c r="J173" i="4"/>
  <c r="H173" i="4"/>
  <c r="G173" i="4"/>
  <c r="E173" i="4"/>
  <c r="O173" i="4"/>
  <c r="F173" i="4"/>
  <c r="I173" i="4"/>
  <c r="P173" i="4"/>
  <c r="O174" i="11" l="1"/>
  <c r="L174" i="11"/>
  <c r="R174" i="11"/>
  <c r="N174" i="11"/>
  <c r="K174" i="4"/>
  <c r="L174" i="4"/>
  <c r="Q174" i="11"/>
  <c r="J174" i="11"/>
  <c r="N174" i="4"/>
  <c r="M174" i="4"/>
  <c r="M174" i="11"/>
  <c r="K174" i="11"/>
  <c r="R174" i="4"/>
  <c r="I174" i="11"/>
  <c r="H174" i="11"/>
  <c r="G174" i="11"/>
  <c r="F174" i="11"/>
  <c r="E174" i="11"/>
  <c r="A181" i="3"/>
  <c r="AB180" i="3"/>
  <c r="A175" i="11"/>
  <c r="I174" i="4"/>
  <c r="F174" i="4"/>
  <c r="J174" i="4"/>
  <c r="H174" i="4"/>
  <c r="P174" i="4"/>
  <c r="G174" i="4"/>
  <c r="E174" i="4"/>
  <c r="O174" i="4"/>
  <c r="B175" i="3"/>
  <c r="D175" i="4"/>
  <c r="O175" i="11" l="1"/>
  <c r="L175" i="11"/>
  <c r="R175" i="11"/>
  <c r="N175" i="11"/>
  <c r="K175" i="4"/>
  <c r="L175" i="4"/>
  <c r="Q175" i="11"/>
  <c r="J175" i="11"/>
  <c r="N175" i="4"/>
  <c r="M175" i="4"/>
  <c r="K175" i="11"/>
  <c r="M175" i="11"/>
  <c r="R175" i="4"/>
  <c r="I175" i="11"/>
  <c r="H175" i="11"/>
  <c r="G175" i="11"/>
  <c r="F175" i="11"/>
  <c r="E175" i="11"/>
  <c r="A182" i="3"/>
  <c r="AB181" i="3"/>
  <c r="A176" i="11"/>
  <c r="H175" i="4"/>
  <c r="G175" i="4"/>
  <c r="I175" i="4"/>
  <c r="J175" i="4"/>
  <c r="O175" i="4"/>
  <c r="E175" i="4"/>
  <c r="P175" i="4"/>
  <c r="F175" i="4"/>
  <c r="B176" i="3"/>
  <c r="D176" i="4"/>
  <c r="O176" i="11" l="1"/>
  <c r="L176" i="11"/>
  <c r="R176" i="11"/>
  <c r="N176" i="11"/>
  <c r="K176" i="4"/>
  <c r="L176" i="4"/>
  <c r="Q176" i="11"/>
  <c r="J176" i="11"/>
  <c r="N176" i="4"/>
  <c r="M176" i="4"/>
  <c r="M176" i="11"/>
  <c r="K176" i="11"/>
  <c r="R176" i="4"/>
  <c r="A183" i="3"/>
  <c r="AB182" i="3"/>
  <c r="I176" i="11"/>
  <c r="H176" i="11"/>
  <c r="F176" i="11"/>
  <c r="E176" i="11"/>
  <c r="G176" i="11"/>
  <c r="A177" i="11"/>
  <c r="P176" i="4"/>
  <c r="J176" i="4"/>
  <c r="E176" i="4"/>
  <c r="F176" i="4"/>
  <c r="O176" i="4"/>
  <c r="H176" i="4"/>
  <c r="I176" i="4"/>
  <c r="G176" i="4"/>
  <c r="B177" i="3"/>
  <c r="D177" i="4"/>
  <c r="O177" i="11" l="1"/>
  <c r="L177" i="11"/>
  <c r="R177" i="11"/>
  <c r="N177" i="11"/>
  <c r="K177" i="4"/>
  <c r="L177" i="4"/>
  <c r="Q177" i="11"/>
  <c r="J177" i="11"/>
  <c r="M177" i="4"/>
  <c r="N177" i="4"/>
  <c r="M177" i="11"/>
  <c r="K177" i="11"/>
  <c r="R177" i="4"/>
  <c r="I177" i="11"/>
  <c r="H177" i="11"/>
  <c r="F177" i="11"/>
  <c r="E177" i="11"/>
  <c r="G177" i="11"/>
  <c r="A184" i="3"/>
  <c r="AB183" i="3"/>
  <c r="A178" i="11"/>
  <c r="B178" i="3"/>
  <c r="D178" i="4"/>
  <c r="G177" i="4"/>
  <c r="F177" i="4"/>
  <c r="I177" i="4"/>
  <c r="O177" i="4"/>
  <c r="J177" i="4"/>
  <c r="P177" i="4"/>
  <c r="E177" i="4"/>
  <c r="H177" i="4"/>
  <c r="O178" i="11" l="1"/>
  <c r="L178" i="11"/>
  <c r="R178" i="11"/>
  <c r="N178" i="11"/>
  <c r="K178" i="4"/>
  <c r="L178" i="4"/>
  <c r="Q178" i="11"/>
  <c r="J178" i="11"/>
  <c r="M178" i="4"/>
  <c r="N178" i="4"/>
  <c r="K178" i="11"/>
  <c r="M178" i="11"/>
  <c r="R178" i="4"/>
  <c r="A185" i="3"/>
  <c r="AB184" i="3"/>
  <c r="I178" i="11"/>
  <c r="H178" i="11"/>
  <c r="G178" i="11"/>
  <c r="F178" i="11"/>
  <c r="E178" i="11"/>
  <c r="A179" i="11"/>
  <c r="O178" i="4"/>
  <c r="P178" i="4"/>
  <c r="J178" i="4"/>
  <c r="F178" i="4"/>
  <c r="E178" i="4"/>
  <c r="G178" i="4"/>
  <c r="I178" i="4"/>
  <c r="H178" i="4"/>
  <c r="B179" i="3"/>
  <c r="D179" i="4"/>
  <c r="O179" i="11" l="1"/>
  <c r="L179" i="11"/>
  <c r="R179" i="11"/>
  <c r="N179" i="11"/>
  <c r="K179" i="4"/>
  <c r="L179" i="4"/>
  <c r="Q179" i="11"/>
  <c r="J179" i="11"/>
  <c r="N179" i="4"/>
  <c r="M179" i="4"/>
  <c r="M179" i="11"/>
  <c r="K179" i="11"/>
  <c r="R179" i="4"/>
  <c r="I179" i="11"/>
  <c r="H179" i="11"/>
  <c r="G179" i="11"/>
  <c r="E179" i="11"/>
  <c r="F179" i="11"/>
  <c r="A186" i="3"/>
  <c r="AB185" i="3"/>
  <c r="A180" i="11"/>
  <c r="H179" i="4"/>
  <c r="G179" i="4"/>
  <c r="F179" i="4"/>
  <c r="P179" i="4"/>
  <c r="I179" i="4"/>
  <c r="J179" i="4"/>
  <c r="O179" i="4"/>
  <c r="E179" i="4"/>
  <c r="B180" i="3"/>
  <c r="D180" i="4"/>
  <c r="O180" i="11" l="1"/>
  <c r="L180" i="11"/>
  <c r="R180" i="11"/>
  <c r="N180" i="11"/>
  <c r="K180" i="4"/>
  <c r="L180" i="4"/>
  <c r="Q180" i="11"/>
  <c r="J180" i="11"/>
  <c r="M180" i="4"/>
  <c r="N180" i="4"/>
  <c r="M180" i="11"/>
  <c r="K180" i="11"/>
  <c r="R180" i="4"/>
  <c r="A187" i="3"/>
  <c r="AB186" i="3"/>
  <c r="I180" i="11"/>
  <c r="H180" i="11"/>
  <c r="G180" i="11"/>
  <c r="F180" i="11"/>
  <c r="E180" i="11"/>
  <c r="A181" i="11"/>
  <c r="H180" i="4"/>
  <c r="P180" i="4"/>
  <c r="F180" i="4"/>
  <c r="I180" i="4"/>
  <c r="O180" i="4"/>
  <c r="G180" i="4"/>
  <c r="J180" i="4"/>
  <c r="E180" i="4"/>
  <c r="B181" i="3"/>
  <c r="D181" i="4"/>
  <c r="O181" i="11" l="1"/>
  <c r="L181" i="11"/>
  <c r="R181" i="11"/>
  <c r="N181" i="11"/>
  <c r="K181" i="4"/>
  <c r="L181" i="4"/>
  <c r="Q181" i="11"/>
  <c r="J181" i="11"/>
  <c r="N181" i="4"/>
  <c r="M181" i="4"/>
  <c r="M181" i="11"/>
  <c r="K181" i="11"/>
  <c r="R181" i="4"/>
  <c r="I181" i="11"/>
  <c r="H181" i="11"/>
  <c r="G181" i="11"/>
  <c r="F181" i="11"/>
  <c r="E181" i="11"/>
  <c r="A188" i="3"/>
  <c r="AB187" i="3"/>
  <c r="A182" i="11"/>
  <c r="F181" i="4"/>
  <c r="O181" i="4"/>
  <c r="H181" i="4"/>
  <c r="I181" i="4"/>
  <c r="G181" i="4"/>
  <c r="J181" i="4"/>
  <c r="P181" i="4"/>
  <c r="E181" i="4"/>
  <c r="B182" i="3"/>
  <c r="D182" i="4"/>
  <c r="O182" i="11" l="1"/>
  <c r="L182" i="11"/>
  <c r="R182" i="11"/>
  <c r="N182" i="11"/>
  <c r="Q182" i="11"/>
  <c r="J182" i="11"/>
  <c r="K182" i="4"/>
  <c r="L182" i="4"/>
  <c r="M182" i="4"/>
  <c r="N182" i="4"/>
  <c r="M182" i="11"/>
  <c r="K182" i="11"/>
  <c r="R182" i="4"/>
  <c r="A189" i="3"/>
  <c r="AB188" i="3"/>
  <c r="I182" i="11"/>
  <c r="H182" i="11"/>
  <c r="G182" i="11"/>
  <c r="F182" i="11"/>
  <c r="E182" i="11"/>
  <c r="A183" i="11"/>
  <c r="B183" i="3"/>
  <c r="D183" i="4"/>
  <c r="F182" i="4"/>
  <c r="I182" i="4"/>
  <c r="O182" i="4"/>
  <c r="P182" i="4"/>
  <c r="H182" i="4"/>
  <c r="J182" i="4"/>
  <c r="G182" i="4"/>
  <c r="E182" i="4"/>
  <c r="O183" i="11" l="1"/>
  <c r="L183" i="11"/>
  <c r="R183" i="11"/>
  <c r="N183" i="11"/>
  <c r="Q183" i="11"/>
  <c r="J183" i="11"/>
  <c r="K183" i="4"/>
  <c r="L183" i="4"/>
  <c r="N183" i="4"/>
  <c r="M183" i="4"/>
  <c r="R183" i="4"/>
  <c r="M183" i="11"/>
  <c r="K183" i="11"/>
  <c r="I183" i="11"/>
  <c r="H183" i="11"/>
  <c r="G183" i="11"/>
  <c r="F183" i="11"/>
  <c r="E183" i="11"/>
  <c r="A190" i="3"/>
  <c r="AB189" i="3"/>
  <c r="A184" i="11"/>
  <c r="B184" i="3"/>
  <c r="D184" i="4"/>
  <c r="H183" i="4"/>
  <c r="G183" i="4"/>
  <c r="I183" i="4"/>
  <c r="O183" i="4"/>
  <c r="J183" i="4"/>
  <c r="E183" i="4"/>
  <c r="P183" i="4"/>
  <c r="F183" i="4"/>
  <c r="O184" i="11" l="1"/>
  <c r="L184" i="11"/>
  <c r="R184" i="11"/>
  <c r="N184" i="11"/>
  <c r="K184" i="4"/>
  <c r="L184" i="4"/>
  <c r="Q184" i="11"/>
  <c r="J184" i="11"/>
  <c r="N184" i="4"/>
  <c r="M184" i="4"/>
  <c r="M184" i="11"/>
  <c r="K184" i="11"/>
  <c r="R184" i="4"/>
  <c r="I184" i="11"/>
  <c r="F184" i="11"/>
  <c r="E184" i="11"/>
  <c r="H184" i="11"/>
  <c r="G184" i="11"/>
  <c r="A191" i="3"/>
  <c r="AB190" i="3"/>
  <c r="A185" i="11"/>
  <c r="E184" i="4"/>
  <c r="O184" i="4"/>
  <c r="G184" i="4"/>
  <c r="P184" i="4"/>
  <c r="J184" i="4"/>
  <c r="F184" i="4"/>
  <c r="H184" i="4"/>
  <c r="I184" i="4"/>
  <c r="B185" i="3"/>
  <c r="D185" i="4"/>
  <c r="O185" i="11" l="1"/>
  <c r="L185" i="11"/>
  <c r="R185" i="11"/>
  <c r="N185" i="11"/>
  <c r="K185" i="4"/>
  <c r="L185" i="4"/>
  <c r="Q185" i="11"/>
  <c r="J185" i="11"/>
  <c r="M185" i="4"/>
  <c r="N185" i="4"/>
  <c r="M185" i="11"/>
  <c r="K185" i="11"/>
  <c r="R185" i="4"/>
  <c r="A192" i="3"/>
  <c r="AB191" i="3"/>
  <c r="G185" i="11"/>
  <c r="I185" i="11"/>
  <c r="F185" i="11"/>
  <c r="E185" i="11"/>
  <c r="H185" i="11"/>
  <c r="A186" i="11"/>
  <c r="B186" i="3"/>
  <c r="D186" i="4"/>
  <c r="F185" i="4"/>
  <c r="O185" i="4"/>
  <c r="H185" i="4"/>
  <c r="I185" i="4"/>
  <c r="P185" i="4"/>
  <c r="J185" i="4"/>
  <c r="E185" i="4"/>
  <c r="G185" i="4"/>
  <c r="O186" i="11" l="1"/>
  <c r="L186" i="11"/>
  <c r="R186" i="11"/>
  <c r="N186" i="11"/>
  <c r="K186" i="4"/>
  <c r="L186" i="4"/>
  <c r="Q186" i="11"/>
  <c r="J186" i="11"/>
  <c r="N186" i="4"/>
  <c r="M186" i="4"/>
  <c r="K186" i="11"/>
  <c r="M186" i="11"/>
  <c r="R186" i="4"/>
  <c r="I186" i="11"/>
  <c r="H186" i="11"/>
  <c r="G186" i="11"/>
  <c r="F186" i="11"/>
  <c r="E186" i="11"/>
  <c r="A193" i="3"/>
  <c r="AB192" i="3"/>
  <c r="A187" i="11"/>
  <c r="J186" i="4"/>
  <c r="G186" i="4"/>
  <c r="F186" i="4"/>
  <c r="E186" i="4"/>
  <c r="O186" i="4"/>
  <c r="P186" i="4"/>
  <c r="H186" i="4"/>
  <c r="I186" i="4"/>
  <c r="B187" i="3"/>
  <c r="D187" i="4"/>
  <c r="O187" i="11" l="1"/>
  <c r="L187" i="11"/>
  <c r="R187" i="11"/>
  <c r="N187" i="11"/>
  <c r="K187" i="4"/>
  <c r="L187" i="4"/>
  <c r="Q187" i="11"/>
  <c r="J187" i="11"/>
  <c r="N187" i="4"/>
  <c r="M187" i="4"/>
  <c r="M187" i="11"/>
  <c r="K187" i="11"/>
  <c r="R187" i="4"/>
  <c r="A194" i="3"/>
  <c r="AB193" i="3"/>
  <c r="I187" i="11"/>
  <c r="H187" i="11"/>
  <c r="G187" i="11"/>
  <c r="F187" i="11"/>
  <c r="E187" i="11"/>
  <c r="A188" i="11"/>
  <c r="I187" i="4"/>
  <c r="E187" i="4"/>
  <c r="H187" i="4"/>
  <c r="F187" i="4"/>
  <c r="O187" i="4"/>
  <c r="J187" i="4"/>
  <c r="P187" i="4"/>
  <c r="G187" i="4"/>
  <c r="B188" i="3"/>
  <c r="D188" i="4"/>
  <c r="O188" i="11" l="1"/>
  <c r="L188" i="11"/>
  <c r="R188" i="11"/>
  <c r="N188" i="11"/>
  <c r="K188" i="4"/>
  <c r="L188" i="4"/>
  <c r="Q188" i="11"/>
  <c r="J188" i="11"/>
  <c r="M188" i="4"/>
  <c r="N188" i="4"/>
  <c r="M188" i="11"/>
  <c r="K188" i="11"/>
  <c r="R188" i="4"/>
  <c r="I188" i="11"/>
  <c r="H188" i="11"/>
  <c r="G188" i="11"/>
  <c r="F188" i="11"/>
  <c r="E188" i="11"/>
  <c r="A195" i="3"/>
  <c r="AB194" i="3"/>
  <c r="A189" i="11"/>
  <c r="B189" i="3"/>
  <c r="D189" i="4"/>
  <c r="I188" i="4"/>
  <c r="O188" i="4"/>
  <c r="J188" i="4"/>
  <c r="P188" i="4"/>
  <c r="E188" i="4"/>
  <c r="H188" i="4"/>
  <c r="F188" i="4"/>
  <c r="G188" i="4"/>
  <c r="O189" i="11" l="1"/>
  <c r="L189" i="11"/>
  <c r="R189" i="11"/>
  <c r="N189" i="11"/>
  <c r="K189" i="4"/>
  <c r="L189" i="4"/>
  <c r="Q189" i="11"/>
  <c r="J189" i="11"/>
  <c r="M189" i="4"/>
  <c r="N189" i="4"/>
  <c r="M189" i="11"/>
  <c r="K189" i="11"/>
  <c r="R189" i="4"/>
  <c r="I189" i="11"/>
  <c r="H189" i="11"/>
  <c r="G189" i="11"/>
  <c r="F189" i="11"/>
  <c r="E189" i="11"/>
  <c r="A196" i="3"/>
  <c r="AB195" i="3"/>
  <c r="A190" i="11"/>
  <c r="B190" i="3"/>
  <c r="D190" i="4"/>
  <c r="H189" i="4"/>
  <c r="P189" i="4"/>
  <c r="E189" i="4"/>
  <c r="G189" i="4"/>
  <c r="O189" i="4"/>
  <c r="I189" i="4"/>
  <c r="J189" i="4"/>
  <c r="F189" i="4"/>
  <c r="O190" i="11" l="1"/>
  <c r="L190" i="11"/>
  <c r="R190" i="11"/>
  <c r="N190" i="11"/>
  <c r="K190" i="4"/>
  <c r="L190" i="4"/>
  <c r="Q190" i="11"/>
  <c r="J190" i="11"/>
  <c r="N190" i="4"/>
  <c r="M190" i="4"/>
  <c r="M190" i="11"/>
  <c r="K190" i="11"/>
  <c r="R190" i="4"/>
  <c r="A197" i="3"/>
  <c r="AB196" i="3"/>
  <c r="I190" i="11"/>
  <c r="H190" i="11"/>
  <c r="G190" i="11"/>
  <c r="F190" i="11"/>
  <c r="E190" i="11"/>
  <c r="A191" i="11"/>
  <c r="B191" i="3"/>
  <c r="D191" i="4"/>
  <c r="F190" i="4"/>
  <c r="J190" i="4"/>
  <c r="H190" i="4"/>
  <c r="I190" i="4"/>
  <c r="O190" i="4"/>
  <c r="G190" i="4"/>
  <c r="P190" i="4"/>
  <c r="E190" i="4"/>
  <c r="O191" i="11" l="1"/>
  <c r="L191" i="11"/>
  <c r="R191" i="11"/>
  <c r="N191" i="11"/>
  <c r="K191" i="4"/>
  <c r="L191" i="4"/>
  <c r="Q191" i="11"/>
  <c r="J191" i="11"/>
  <c r="N191" i="4"/>
  <c r="M191" i="4"/>
  <c r="M191" i="11"/>
  <c r="K191" i="11"/>
  <c r="R191" i="4"/>
  <c r="I191" i="11"/>
  <c r="H191" i="11"/>
  <c r="G191" i="11"/>
  <c r="F191" i="11"/>
  <c r="E191" i="11"/>
  <c r="A198" i="3"/>
  <c r="AB197" i="3"/>
  <c r="A192" i="11"/>
  <c r="P191" i="4"/>
  <c r="H191" i="4"/>
  <c r="G191" i="4"/>
  <c r="E191" i="4"/>
  <c r="F191" i="4"/>
  <c r="J191" i="4"/>
  <c r="O191" i="4"/>
  <c r="I191" i="4"/>
  <c r="B192" i="3"/>
  <c r="D192" i="4"/>
  <c r="O192" i="11" l="1"/>
  <c r="L192" i="11"/>
  <c r="R192" i="11"/>
  <c r="N192" i="11"/>
  <c r="K192" i="4"/>
  <c r="L192" i="4"/>
  <c r="Q192" i="11"/>
  <c r="J192" i="11"/>
  <c r="M192" i="4"/>
  <c r="N192" i="4"/>
  <c r="M192" i="11"/>
  <c r="K192" i="11"/>
  <c r="R192" i="4"/>
  <c r="A199" i="3"/>
  <c r="AB198" i="3"/>
  <c r="G192" i="11"/>
  <c r="F192" i="11"/>
  <c r="E192" i="11"/>
  <c r="I192" i="11"/>
  <c r="H192" i="11"/>
  <c r="A193" i="11"/>
  <c r="P192" i="4"/>
  <c r="J192" i="4"/>
  <c r="F192" i="4"/>
  <c r="E192" i="4"/>
  <c r="H192" i="4"/>
  <c r="O192" i="4"/>
  <c r="G192" i="4"/>
  <c r="I192" i="4"/>
  <c r="B193" i="3"/>
  <c r="D193" i="4"/>
  <c r="O193" i="11" l="1"/>
  <c r="L193" i="11"/>
  <c r="R193" i="11"/>
  <c r="N193" i="11"/>
  <c r="K193" i="4"/>
  <c r="L193" i="4"/>
  <c r="Q193" i="11"/>
  <c r="J193" i="11"/>
  <c r="N193" i="4"/>
  <c r="M193" i="4"/>
  <c r="M193" i="11"/>
  <c r="K193" i="11"/>
  <c r="R193" i="4"/>
  <c r="H193" i="11"/>
  <c r="G193" i="11"/>
  <c r="F193" i="11"/>
  <c r="E193" i="11"/>
  <c r="I193" i="11"/>
  <c r="A200" i="3"/>
  <c r="AB199" i="3"/>
  <c r="A194" i="11"/>
  <c r="I193" i="4"/>
  <c r="J193" i="4"/>
  <c r="H193" i="4"/>
  <c r="O193" i="4"/>
  <c r="G193" i="4"/>
  <c r="P193" i="4"/>
  <c r="E193" i="4"/>
  <c r="F193" i="4"/>
  <c r="B194" i="3"/>
  <c r="D194" i="4"/>
  <c r="O194" i="11" l="1"/>
  <c r="L194" i="11"/>
  <c r="R194" i="11"/>
  <c r="N194" i="11"/>
  <c r="K194" i="4"/>
  <c r="L194" i="4"/>
  <c r="Q194" i="11"/>
  <c r="J194" i="11"/>
  <c r="M194" i="4"/>
  <c r="N194" i="4"/>
  <c r="M194" i="11"/>
  <c r="K194" i="11"/>
  <c r="R194" i="4"/>
  <c r="I194" i="11"/>
  <c r="H194" i="11"/>
  <c r="G194" i="11"/>
  <c r="F194" i="11"/>
  <c r="E194" i="11"/>
  <c r="A201" i="3"/>
  <c r="AB200" i="3"/>
  <c r="A195" i="11"/>
  <c r="B195" i="3"/>
  <c r="D195" i="4"/>
  <c r="G194" i="4"/>
  <c r="I194" i="4"/>
  <c r="O194" i="4"/>
  <c r="H194" i="4"/>
  <c r="P194" i="4"/>
  <c r="J194" i="4"/>
  <c r="E194" i="4"/>
  <c r="F194" i="4"/>
  <c r="O195" i="11" l="1"/>
  <c r="L195" i="11"/>
  <c r="R195" i="11"/>
  <c r="N195" i="11"/>
  <c r="K195" i="4"/>
  <c r="L195" i="4"/>
  <c r="Q195" i="11"/>
  <c r="J195" i="11"/>
  <c r="AB201" i="3"/>
  <c r="M195" i="4"/>
  <c r="N195" i="4"/>
  <c r="M195" i="11"/>
  <c r="K195" i="11"/>
  <c r="R195" i="4"/>
  <c r="I195" i="11"/>
  <c r="H195" i="11"/>
  <c r="G195" i="11"/>
  <c r="E195" i="11"/>
  <c r="F195" i="11"/>
  <c r="A196" i="11"/>
  <c r="O195" i="4"/>
  <c r="H195" i="4"/>
  <c r="I195" i="4"/>
  <c r="G195" i="4"/>
  <c r="P195" i="4"/>
  <c r="E195" i="4"/>
  <c r="J195" i="4"/>
  <c r="F195" i="4"/>
  <c r="B196" i="3"/>
  <c r="D196" i="4"/>
  <c r="O196" i="11" l="1"/>
  <c r="L196" i="11"/>
  <c r="R196" i="11"/>
  <c r="N196" i="11"/>
  <c r="Q196" i="11"/>
  <c r="J196" i="11"/>
  <c r="K196" i="4"/>
  <c r="L196" i="4"/>
  <c r="N196" i="4"/>
  <c r="M196" i="4"/>
  <c r="R196" i="4"/>
  <c r="M196" i="11"/>
  <c r="K196" i="11"/>
  <c r="I196" i="11"/>
  <c r="H196" i="11"/>
  <c r="G196" i="11"/>
  <c r="E196" i="11"/>
  <c r="F196" i="11"/>
  <c r="A197" i="11"/>
  <c r="H196" i="4"/>
  <c r="O196" i="4"/>
  <c r="G196" i="4"/>
  <c r="E196" i="4"/>
  <c r="J196" i="4"/>
  <c r="I196" i="4"/>
  <c r="P196" i="4"/>
  <c r="F196" i="4"/>
  <c r="B197" i="3"/>
  <c r="D197" i="4"/>
  <c r="O197" i="11" l="1"/>
  <c r="L197" i="11"/>
  <c r="R197" i="11"/>
  <c r="N197" i="11"/>
  <c r="Q197" i="11"/>
  <c r="J197" i="11"/>
  <c r="K197" i="4"/>
  <c r="L197" i="4"/>
  <c r="N197" i="4"/>
  <c r="M197" i="4"/>
  <c r="M197" i="11"/>
  <c r="K197" i="11"/>
  <c r="R197" i="4"/>
  <c r="I197" i="11"/>
  <c r="H197" i="11"/>
  <c r="G197" i="11"/>
  <c r="F197" i="11"/>
  <c r="E197" i="11"/>
  <c r="A198" i="11"/>
  <c r="B198" i="3"/>
  <c r="D198" i="4"/>
  <c r="G197" i="4"/>
  <c r="P197" i="4"/>
  <c r="F197" i="4"/>
  <c r="O197" i="4"/>
  <c r="I197" i="4"/>
  <c r="E197" i="4"/>
  <c r="H197" i="4"/>
  <c r="J197" i="4"/>
  <c r="O198" i="11" l="1"/>
  <c r="L198" i="11"/>
  <c r="R198" i="11"/>
  <c r="N198" i="11"/>
  <c r="Q198" i="11"/>
  <c r="J198" i="11"/>
  <c r="K198" i="4"/>
  <c r="L198" i="4"/>
  <c r="N198" i="4"/>
  <c r="M198" i="4"/>
  <c r="R198" i="4"/>
  <c r="M198" i="11"/>
  <c r="K198" i="11"/>
  <c r="I198" i="11"/>
  <c r="H198" i="11"/>
  <c r="G198" i="11"/>
  <c r="F198" i="11"/>
  <c r="E198" i="11"/>
  <c r="A199" i="11"/>
  <c r="P198" i="4"/>
  <c r="E198" i="4"/>
  <c r="F198" i="4"/>
  <c r="G198" i="4"/>
  <c r="H198" i="4"/>
  <c r="O198" i="4"/>
  <c r="I198" i="4"/>
  <c r="J198" i="4"/>
  <c r="B199" i="3"/>
  <c r="D199" i="4"/>
  <c r="O199" i="11" l="1"/>
  <c r="L199" i="11"/>
  <c r="R199" i="11"/>
  <c r="N199" i="11"/>
  <c r="Q199" i="11"/>
  <c r="J199" i="11"/>
  <c r="K199" i="4"/>
  <c r="L199" i="4"/>
  <c r="N199" i="4"/>
  <c r="M199" i="4"/>
  <c r="M199" i="11"/>
  <c r="K199" i="11"/>
  <c r="R199" i="4"/>
  <c r="I199" i="11"/>
  <c r="H199" i="11"/>
  <c r="G199" i="11"/>
  <c r="F199" i="11"/>
  <c r="E199" i="11"/>
  <c r="A200" i="11"/>
  <c r="E199" i="4"/>
  <c r="F199" i="4"/>
  <c r="O199" i="4"/>
  <c r="H199" i="4"/>
  <c r="G199" i="4"/>
  <c r="I199" i="4"/>
  <c r="J199" i="4"/>
  <c r="P199" i="4"/>
  <c r="B200" i="3"/>
  <c r="D200" i="4"/>
  <c r="O200" i="11" l="1"/>
  <c r="L200" i="11"/>
  <c r="R200" i="11"/>
  <c r="N200" i="11"/>
  <c r="Q200" i="11"/>
  <c r="J200" i="11"/>
  <c r="K200" i="4"/>
  <c r="L200" i="4"/>
  <c r="M200" i="4"/>
  <c r="N200" i="4"/>
  <c r="M200" i="11"/>
  <c r="K200" i="11"/>
  <c r="R200" i="4"/>
  <c r="H200" i="11"/>
  <c r="G200" i="11"/>
  <c r="F200" i="11"/>
  <c r="E200" i="11"/>
  <c r="I200" i="11"/>
  <c r="A201" i="11"/>
  <c r="B201" i="3"/>
  <c r="D201" i="4"/>
  <c r="G200" i="4"/>
  <c r="O200" i="4"/>
  <c r="I200" i="4"/>
  <c r="J200" i="4"/>
  <c r="E200" i="4"/>
  <c r="P200" i="4"/>
  <c r="F200" i="4"/>
  <c r="H200" i="4"/>
  <c r="O201" i="11" l="1"/>
  <c r="L201" i="11"/>
  <c r="R201" i="11"/>
  <c r="N201" i="11"/>
  <c r="Q201" i="11"/>
  <c r="C1" i="11" s="1" a="1"/>
  <c r="J201" i="11"/>
  <c r="K201" i="4"/>
  <c r="L201" i="4"/>
  <c r="M201" i="4"/>
  <c r="N201" i="4"/>
  <c r="R201" i="4"/>
  <c r="M201" i="11"/>
  <c r="B1" i="11" s="1" a="1"/>
  <c r="K201" i="11"/>
  <c r="I201" i="11"/>
  <c r="H201" i="11"/>
  <c r="G201" i="11"/>
  <c r="F201" i="11"/>
  <c r="E201" i="11"/>
  <c r="E201" i="4"/>
  <c r="F201" i="4"/>
  <c r="G201" i="4"/>
  <c r="O201" i="4"/>
  <c r="I201" i="4"/>
  <c r="H201" i="4"/>
  <c r="J201" i="4"/>
  <c r="P201" i="4"/>
  <c r="D2" i="3" l="1"/>
  <c r="D10" i="3"/>
  <c r="D18" i="3"/>
  <c r="D26" i="3"/>
  <c r="D34" i="3"/>
  <c r="D42" i="3"/>
  <c r="D50" i="3"/>
  <c r="D58" i="3"/>
  <c r="D66" i="3"/>
  <c r="D74" i="3"/>
  <c r="D82" i="3"/>
  <c r="D90" i="3"/>
  <c r="D98" i="3"/>
  <c r="D106" i="3"/>
  <c r="D114" i="3"/>
  <c r="D122" i="3"/>
  <c r="D130" i="3"/>
  <c r="D138" i="3"/>
  <c r="D146" i="3"/>
  <c r="D154" i="3"/>
  <c r="D162" i="3"/>
  <c r="D170" i="3"/>
  <c r="D178" i="3"/>
  <c r="D186" i="3"/>
  <c r="D194" i="3"/>
  <c r="D27" i="3"/>
  <c r="D67" i="3"/>
  <c r="D83" i="3"/>
  <c r="D99" i="3"/>
  <c r="D115" i="3"/>
  <c r="D123" i="3"/>
  <c r="D139" i="3"/>
  <c r="D155" i="3"/>
  <c r="D171" i="3"/>
  <c r="D187" i="3"/>
  <c r="D195" i="3"/>
  <c r="D101" i="3"/>
  <c r="D125" i="3"/>
  <c r="D149" i="3"/>
  <c r="D189" i="3"/>
  <c r="D144" i="3"/>
  <c r="D176" i="3"/>
  <c r="D201" i="3"/>
  <c r="D3" i="3"/>
  <c r="D11" i="3"/>
  <c r="D19" i="3"/>
  <c r="D35" i="3"/>
  <c r="D43" i="3"/>
  <c r="D51" i="3"/>
  <c r="D59" i="3"/>
  <c r="D75" i="3"/>
  <c r="D91" i="3"/>
  <c r="D107" i="3"/>
  <c r="D131" i="3"/>
  <c r="D147" i="3"/>
  <c r="D163" i="3"/>
  <c r="D179" i="3"/>
  <c r="D109" i="3"/>
  <c r="D141" i="3"/>
  <c r="D165" i="3"/>
  <c r="D181" i="3"/>
  <c r="D136" i="3"/>
  <c r="D184" i="3"/>
  <c r="D25" i="3"/>
  <c r="D65" i="3"/>
  <c r="D105" i="3"/>
  <c r="D137" i="3"/>
  <c r="D177" i="3"/>
  <c r="D4" i="3"/>
  <c r="D12" i="3"/>
  <c r="D20" i="3"/>
  <c r="D28" i="3"/>
  <c r="D36" i="3"/>
  <c r="D44" i="3"/>
  <c r="D52" i="3"/>
  <c r="D60" i="3"/>
  <c r="D68" i="3"/>
  <c r="D76" i="3"/>
  <c r="D84" i="3"/>
  <c r="D92" i="3"/>
  <c r="D100" i="3"/>
  <c r="D108" i="3"/>
  <c r="D116" i="3"/>
  <c r="D124" i="3"/>
  <c r="D132" i="3"/>
  <c r="D140" i="3"/>
  <c r="D148" i="3"/>
  <c r="D156" i="3"/>
  <c r="D164" i="3"/>
  <c r="D172" i="3"/>
  <c r="D180" i="3"/>
  <c r="D188" i="3"/>
  <c r="D196" i="3"/>
  <c r="D5" i="3"/>
  <c r="D13" i="3"/>
  <c r="D21" i="3"/>
  <c r="D29" i="3"/>
  <c r="D37" i="3"/>
  <c r="D45" i="3"/>
  <c r="D53" i="3"/>
  <c r="D61" i="3"/>
  <c r="D69" i="3"/>
  <c r="D77" i="3"/>
  <c r="D85" i="3"/>
  <c r="D93" i="3"/>
  <c r="D117" i="3"/>
  <c r="D133" i="3"/>
  <c r="D157" i="3"/>
  <c r="D173" i="3"/>
  <c r="D197" i="3"/>
  <c r="D160" i="3"/>
  <c r="D192" i="3"/>
  <c r="D17" i="3"/>
  <c r="D49" i="3"/>
  <c r="D89" i="3"/>
  <c r="D129" i="3"/>
  <c r="D161" i="3"/>
  <c r="D193" i="3"/>
  <c r="D6" i="3"/>
  <c r="D14" i="3"/>
  <c r="D22" i="3"/>
  <c r="D30" i="3"/>
  <c r="D38" i="3"/>
  <c r="D46" i="3"/>
  <c r="D54" i="3"/>
  <c r="D62" i="3"/>
  <c r="D70" i="3"/>
  <c r="D78" i="3"/>
  <c r="D86" i="3"/>
  <c r="D94" i="3"/>
  <c r="D102" i="3"/>
  <c r="D110" i="3"/>
  <c r="D118" i="3"/>
  <c r="D126" i="3"/>
  <c r="D134" i="3"/>
  <c r="D142" i="3"/>
  <c r="D150" i="3"/>
  <c r="D158" i="3"/>
  <c r="D166" i="3"/>
  <c r="D174" i="3"/>
  <c r="D182" i="3"/>
  <c r="D190" i="3"/>
  <c r="D198" i="3"/>
  <c r="D87" i="3"/>
  <c r="D111" i="3"/>
  <c r="D127" i="3"/>
  <c r="D143" i="3"/>
  <c r="D159" i="3"/>
  <c r="D175" i="3"/>
  <c r="D191" i="3"/>
  <c r="D8" i="3"/>
  <c r="D24" i="3"/>
  <c r="D32" i="3"/>
  <c r="D40" i="3"/>
  <c r="D56" i="3"/>
  <c r="D80" i="3"/>
  <c r="D96" i="3"/>
  <c r="D112" i="3"/>
  <c r="D120" i="3"/>
  <c r="D152" i="3"/>
  <c r="D200" i="3"/>
  <c r="D33" i="3"/>
  <c r="D41" i="3"/>
  <c r="D73" i="3"/>
  <c r="D97" i="3"/>
  <c r="D121" i="3"/>
  <c r="D169" i="3"/>
  <c r="D7" i="3"/>
  <c r="D15" i="3"/>
  <c r="D23" i="3"/>
  <c r="D31" i="3"/>
  <c r="D39" i="3"/>
  <c r="D47" i="3"/>
  <c r="D55" i="3"/>
  <c r="D63" i="3"/>
  <c r="D71" i="3"/>
  <c r="D79" i="3"/>
  <c r="D95" i="3"/>
  <c r="D103" i="3"/>
  <c r="D119" i="3"/>
  <c r="D135" i="3"/>
  <c r="D151" i="3"/>
  <c r="D167" i="3"/>
  <c r="D183" i="3"/>
  <c r="D199" i="3"/>
  <c r="D16" i="3"/>
  <c r="D48" i="3"/>
  <c r="D64" i="3"/>
  <c r="D72" i="3"/>
  <c r="D88" i="3"/>
  <c r="D104" i="3"/>
  <c r="D128" i="3"/>
  <c r="D168" i="3"/>
  <c r="D9" i="3"/>
  <c r="D57" i="3"/>
  <c r="D81" i="3"/>
  <c r="D113" i="3"/>
  <c r="D145" i="3"/>
  <c r="D185" i="3"/>
  <c r="D153" i="3"/>
  <c r="C1" i="11"/>
  <c r="C9" i="3"/>
  <c r="C17" i="3"/>
  <c r="C25" i="3"/>
  <c r="C33" i="3"/>
  <c r="C41" i="3"/>
  <c r="C49" i="3"/>
  <c r="C57" i="3"/>
  <c r="C65" i="3"/>
  <c r="E65" i="3" s="1"/>
  <c r="C73" i="3"/>
  <c r="C81" i="3"/>
  <c r="C89" i="3"/>
  <c r="C97" i="3"/>
  <c r="C105" i="3"/>
  <c r="C113" i="3"/>
  <c r="C121" i="3"/>
  <c r="C129" i="3"/>
  <c r="C137" i="3"/>
  <c r="C145" i="3"/>
  <c r="C153" i="3"/>
  <c r="C161" i="3"/>
  <c r="C169" i="3"/>
  <c r="C177" i="3"/>
  <c r="C185" i="3"/>
  <c r="C193" i="3"/>
  <c r="C201" i="3"/>
  <c r="C56" i="3"/>
  <c r="E56" i="3" s="1"/>
  <c r="C120" i="3"/>
  <c r="C192" i="3"/>
  <c r="C2" i="3"/>
  <c r="C10" i="3"/>
  <c r="C18" i="3"/>
  <c r="C26" i="3"/>
  <c r="C34" i="3"/>
  <c r="C42" i="3"/>
  <c r="C50" i="3"/>
  <c r="C58" i="3"/>
  <c r="C66" i="3"/>
  <c r="C74" i="3"/>
  <c r="C82" i="3"/>
  <c r="C90" i="3"/>
  <c r="C98" i="3"/>
  <c r="C106" i="3"/>
  <c r="C114" i="3"/>
  <c r="C122" i="3"/>
  <c r="C130" i="3"/>
  <c r="C138" i="3"/>
  <c r="C146" i="3"/>
  <c r="C154" i="3"/>
  <c r="C162" i="3"/>
  <c r="C170" i="3"/>
  <c r="C178" i="3"/>
  <c r="C186" i="3"/>
  <c r="C194" i="3"/>
  <c r="C8" i="3"/>
  <c r="C64" i="3"/>
  <c r="C104" i="3"/>
  <c r="C152" i="3"/>
  <c r="C3" i="3"/>
  <c r="C11" i="3"/>
  <c r="C19" i="3"/>
  <c r="C27" i="3"/>
  <c r="C35" i="3"/>
  <c r="C43" i="3"/>
  <c r="E43" i="3" s="1"/>
  <c r="C51" i="3"/>
  <c r="C59" i="3"/>
  <c r="E59" i="3" s="1"/>
  <c r="C67" i="3"/>
  <c r="C75" i="3"/>
  <c r="C83" i="3"/>
  <c r="C91" i="3"/>
  <c r="C99" i="3"/>
  <c r="C107" i="3"/>
  <c r="C115" i="3"/>
  <c r="C123" i="3"/>
  <c r="C131" i="3"/>
  <c r="C139" i="3"/>
  <c r="C147" i="3"/>
  <c r="C155" i="3"/>
  <c r="C163" i="3"/>
  <c r="C171" i="3"/>
  <c r="C179" i="3"/>
  <c r="E179" i="3" s="1"/>
  <c r="C187" i="3"/>
  <c r="C195" i="3"/>
  <c r="C72" i="3"/>
  <c r="C160" i="3"/>
  <c r="C4" i="3"/>
  <c r="C12" i="3"/>
  <c r="C20" i="3"/>
  <c r="C28" i="3"/>
  <c r="C36" i="3"/>
  <c r="C44" i="3"/>
  <c r="C52" i="3"/>
  <c r="C60" i="3"/>
  <c r="C68" i="3"/>
  <c r="C76" i="3"/>
  <c r="C84" i="3"/>
  <c r="C92" i="3"/>
  <c r="C100" i="3"/>
  <c r="C108" i="3"/>
  <c r="C116" i="3"/>
  <c r="C124" i="3"/>
  <c r="C132" i="3"/>
  <c r="C140" i="3"/>
  <c r="C148" i="3"/>
  <c r="C156" i="3"/>
  <c r="C164" i="3"/>
  <c r="C172" i="3"/>
  <c r="C180" i="3"/>
  <c r="C188" i="3"/>
  <c r="C196" i="3"/>
  <c r="C32" i="3"/>
  <c r="C80" i="3"/>
  <c r="C136" i="3"/>
  <c r="C184" i="3"/>
  <c r="C5" i="3"/>
  <c r="C13" i="3"/>
  <c r="C21" i="3"/>
  <c r="C29" i="3"/>
  <c r="C37" i="3"/>
  <c r="C45" i="3"/>
  <c r="C53" i="3"/>
  <c r="C61" i="3"/>
  <c r="C69" i="3"/>
  <c r="C77" i="3"/>
  <c r="C85" i="3"/>
  <c r="C93" i="3"/>
  <c r="C101" i="3"/>
  <c r="C109" i="3"/>
  <c r="C117" i="3"/>
  <c r="C125" i="3"/>
  <c r="C133" i="3"/>
  <c r="E133" i="3" s="1"/>
  <c r="C141" i="3"/>
  <c r="C149" i="3"/>
  <c r="C157" i="3"/>
  <c r="C165" i="3"/>
  <c r="C173" i="3"/>
  <c r="C181" i="3"/>
  <c r="C189" i="3"/>
  <c r="C197" i="3"/>
  <c r="C24" i="3"/>
  <c r="C96" i="3"/>
  <c r="E96" i="3" s="1"/>
  <c r="C144" i="3"/>
  <c r="C200" i="3"/>
  <c r="C6" i="3"/>
  <c r="C14" i="3"/>
  <c r="C22" i="3"/>
  <c r="C30" i="3"/>
  <c r="C38" i="3"/>
  <c r="C46" i="3"/>
  <c r="C54" i="3"/>
  <c r="C62" i="3"/>
  <c r="C70" i="3"/>
  <c r="C78" i="3"/>
  <c r="C86" i="3"/>
  <c r="C94" i="3"/>
  <c r="C102" i="3"/>
  <c r="C110" i="3"/>
  <c r="C118" i="3"/>
  <c r="C126" i="3"/>
  <c r="C134" i="3"/>
  <c r="C142" i="3"/>
  <c r="C150" i="3"/>
  <c r="C158" i="3"/>
  <c r="C166" i="3"/>
  <c r="C174" i="3"/>
  <c r="C182" i="3"/>
  <c r="C190" i="3"/>
  <c r="C198" i="3"/>
  <c r="C40" i="3"/>
  <c r="C88" i="3"/>
  <c r="C168" i="3"/>
  <c r="C7" i="3"/>
  <c r="C15" i="3"/>
  <c r="C23" i="3"/>
  <c r="C31" i="3"/>
  <c r="C39" i="3"/>
  <c r="C47" i="3"/>
  <c r="C55" i="3"/>
  <c r="C63" i="3"/>
  <c r="C71" i="3"/>
  <c r="C79" i="3"/>
  <c r="C87" i="3"/>
  <c r="C95" i="3"/>
  <c r="C103" i="3"/>
  <c r="C111" i="3"/>
  <c r="E111" i="3" s="1"/>
  <c r="C119" i="3"/>
  <c r="C127" i="3"/>
  <c r="C135" i="3"/>
  <c r="C143" i="3"/>
  <c r="C151" i="3"/>
  <c r="C159" i="3"/>
  <c r="C167" i="3"/>
  <c r="C175" i="3"/>
  <c r="C183" i="3"/>
  <c r="C191" i="3"/>
  <c r="C199" i="3"/>
  <c r="C48" i="3"/>
  <c r="C112" i="3"/>
  <c r="C176" i="3"/>
  <c r="C16" i="3"/>
  <c r="C128" i="3"/>
  <c r="B1" i="4" a="1"/>
  <c r="G50" i="3" s="1"/>
  <c r="A1" i="4" a="1"/>
  <c r="F114" i="3" s="1"/>
  <c r="B1" i="11"/>
  <c r="E151" i="3" l="1"/>
  <c r="E103" i="3"/>
  <c r="E45" i="3"/>
  <c r="E146" i="3"/>
  <c r="E182" i="3"/>
  <c r="E167" i="3"/>
  <c r="E198" i="3"/>
  <c r="E67" i="3"/>
  <c r="E112" i="3"/>
  <c r="E18" i="3"/>
  <c r="E118" i="3"/>
  <c r="E54" i="3"/>
  <c r="E70" i="3"/>
  <c r="E6" i="3"/>
  <c r="E148" i="3"/>
  <c r="E84" i="3"/>
  <c r="E196" i="3"/>
  <c r="E132" i="3"/>
  <c r="E68" i="3"/>
  <c r="E155" i="3"/>
  <c r="E91" i="3"/>
  <c r="E29" i="3"/>
  <c r="E79" i="3"/>
  <c r="E93" i="3"/>
  <c r="E199" i="3"/>
  <c r="E86" i="3"/>
  <c r="E22" i="3"/>
  <c r="E164" i="3"/>
  <c r="E100" i="3"/>
  <c r="E80" i="3"/>
  <c r="E165" i="3"/>
  <c r="E174" i="3"/>
  <c r="E46" i="3"/>
  <c r="E188" i="3"/>
  <c r="E124" i="3"/>
  <c r="E60" i="3"/>
  <c r="E83" i="3"/>
  <c r="E168" i="3"/>
  <c r="E201" i="3"/>
  <c r="E171" i="3"/>
  <c r="E127" i="3"/>
  <c r="E158" i="3"/>
  <c r="E94" i="3"/>
  <c r="E30" i="3"/>
  <c r="E172" i="3"/>
  <c r="E108" i="3"/>
  <c r="E44" i="3"/>
  <c r="E195" i="3"/>
  <c r="E3" i="3"/>
  <c r="E53" i="3"/>
  <c r="E154" i="3"/>
  <c r="E90" i="3"/>
  <c r="E129" i="3"/>
  <c r="E32" i="3"/>
  <c r="E194" i="3"/>
  <c r="E130" i="3"/>
  <c r="E66" i="3"/>
  <c r="E17" i="3"/>
  <c r="E173" i="3"/>
  <c r="E107" i="3"/>
  <c r="E175" i="3"/>
  <c r="E181" i="3"/>
  <c r="E101" i="3"/>
  <c r="E99" i="3"/>
  <c r="E72" i="3"/>
  <c r="E61" i="3"/>
  <c r="E98" i="3"/>
  <c r="E47" i="3"/>
  <c r="E169" i="3"/>
  <c r="E160" i="3"/>
  <c r="E147" i="3"/>
  <c r="E77" i="3"/>
  <c r="E13" i="3"/>
  <c r="E114" i="3"/>
  <c r="H114" i="3" s="1"/>
  <c r="E50" i="3"/>
  <c r="E63" i="3"/>
  <c r="E184" i="3"/>
  <c r="E121" i="3"/>
  <c r="E113" i="3"/>
  <c r="E176" i="3"/>
  <c r="E95" i="3"/>
  <c r="E31" i="3"/>
  <c r="E138" i="3"/>
  <c r="E74" i="3"/>
  <c r="E10" i="3"/>
  <c r="E49" i="3"/>
  <c r="E23" i="3"/>
  <c r="E27" i="3"/>
  <c r="E41" i="3"/>
  <c r="E48" i="3"/>
  <c r="E143" i="3"/>
  <c r="E57" i="3"/>
  <c r="E166" i="3"/>
  <c r="E38" i="3"/>
  <c r="E141" i="3"/>
  <c r="E180" i="3"/>
  <c r="E116" i="3"/>
  <c r="E52" i="3"/>
  <c r="E75" i="3"/>
  <c r="E89" i="3"/>
  <c r="E40" i="3"/>
  <c r="E117" i="3"/>
  <c r="E126" i="3"/>
  <c r="E62" i="3"/>
  <c r="E140" i="3"/>
  <c r="E12" i="3"/>
  <c r="E19" i="3"/>
  <c r="E120" i="3"/>
  <c r="E197" i="3"/>
  <c r="E69" i="3"/>
  <c r="E5" i="3"/>
  <c r="E170" i="3"/>
  <c r="E106" i="3"/>
  <c r="E55" i="3"/>
  <c r="E88" i="3"/>
  <c r="E125" i="3"/>
  <c r="E191" i="3"/>
  <c r="E136" i="3"/>
  <c r="E115" i="3"/>
  <c r="E104" i="3"/>
  <c r="E193" i="3"/>
  <c r="E163" i="3"/>
  <c r="E87" i="3"/>
  <c r="E85" i="3"/>
  <c r="E21" i="3"/>
  <c r="E58" i="3"/>
  <c r="E192" i="3"/>
  <c r="E7" i="3"/>
  <c r="E25" i="3"/>
  <c r="E145" i="3"/>
  <c r="E183" i="3"/>
  <c r="E152" i="3"/>
  <c r="E128" i="3"/>
  <c r="E142" i="3"/>
  <c r="E78" i="3"/>
  <c r="E14" i="3"/>
  <c r="E156" i="3"/>
  <c r="E92" i="3"/>
  <c r="E28" i="3"/>
  <c r="E82" i="3"/>
  <c r="E190" i="3"/>
  <c r="E37" i="3"/>
  <c r="E35" i="3"/>
  <c r="E8" i="3"/>
  <c r="E177" i="3"/>
  <c r="E15" i="3"/>
  <c r="E110" i="3"/>
  <c r="E149" i="3"/>
  <c r="E186" i="3"/>
  <c r="E97" i="3"/>
  <c r="E33" i="3"/>
  <c r="E178" i="3"/>
  <c r="E42" i="3"/>
  <c r="E81" i="3"/>
  <c r="E150" i="3"/>
  <c r="E36" i="3"/>
  <c r="E34" i="3"/>
  <c r="E153" i="3"/>
  <c r="E187" i="3"/>
  <c r="E123" i="3"/>
  <c r="E162" i="3"/>
  <c r="E137" i="3"/>
  <c r="E131" i="3"/>
  <c r="E119" i="3"/>
  <c r="E189" i="3"/>
  <c r="E73" i="3"/>
  <c r="E9" i="3"/>
  <c r="E16" i="3"/>
  <c r="E134" i="3"/>
  <c r="E64" i="3"/>
  <c r="E185" i="3"/>
  <c r="E76" i="3"/>
  <c r="E144" i="3"/>
  <c r="E4" i="3"/>
  <c r="E105" i="3"/>
  <c r="E51" i="3"/>
  <c r="E26" i="3"/>
  <c r="E20" i="3"/>
  <c r="E159" i="3"/>
  <c r="E122" i="3"/>
  <c r="E161" i="3"/>
  <c r="E39" i="3"/>
  <c r="E109" i="3"/>
  <c r="E200" i="3"/>
  <c r="E71" i="3"/>
  <c r="E102" i="3"/>
  <c r="E24" i="3"/>
  <c r="E139" i="3"/>
  <c r="E11" i="3"/>
  <c r="E2" i="3"/>
  <c r="E157" i="3"/>
  <c r="E135" i="3"/>
  <c r="C43" i="7"/>
  <c r="B43" i="7"/>
  <c r="F170" i="3"/>
  <c r="F76" i="3"/>
  <c r="F139" i="3"/>
  <c r="G95" i="3"/>
  <c r="G174" i="3"/>
  <c r="F71" i="3"/>
  <c r="F138" i="3"/>
  <c r="F79" i="3"/>
  <c r="G181" i="3"/>
  <c r="F15" i="3"/>
  <c r="F68" i="3"/>
  <c r="G117" i="3"/>
  <c r="I117" i="3" s="1"/>
  <c r="F158" i="3"/>
  <c r="F12" i="3"/>
  <c r="G171" i="3"/>
  <c r="F150" i="3"/>
  <c r="F82" i="3"/>
  <c r="G107" i="3"/>
  <c r="I107" i="3" s="1"/>
  <c r="F200" i="3"/>
  <c r="F50" i="3"/>
  <c r="F154" i="3"/>
  <c r="F176" i="3"/>
  <c r="G103" i="3"/>
  <c r="F81" i="3"/>
  <c r="G53" i="3"/>
  <c r="F7" i="3"/>
  <c r="F86" i="3"/>
  <c r="F173" i="3"/>
  <c r="F33" i="3"/>
  <c r="G97" i="3"/>
  <c r="G31" i="3"/>
  <c r="G102" i="3"/>
  <c r="G201" i="3"/>
  <c r="G170" i="3"/>
  <c r="F16" i="3"/>
  <c r="F145" i="3"/>
  <c r="F30" i="3"/>
  <c r="F117" i="3"/>
  <c r="F24" i="3"/>
  <c r="F99" i="3"/>
  <c r="G104" i="3"/>
  <c r="G113" i="3"/>
  <c r="G46" i="3"/>
  <c r="G120" i="3"/>
  <c r="G106" i="3"/>
  <c r="F65" i="3"/>
  <c r="H65" i="3" s="1"/>
  <c r="G39" i="3"/>
  <c r="F57" i="3"/>
  <c r="F199" i="3"/>
  <c r="F113" i="3"/>
  <c r="F22" i="3"/>
  <c r="F109" i="3"/>
  <c r="F196" i="3"/>
  <c r="F91" i="3"/>
  <c r="G72" i="3"/>
  <c r="I72" i="3" s="1"/>
  <c r="G89" i="3"/>
  <c r="G38" i="3"/>
  <c r="G164" i="3"/>
  <c r="I164" i="3" s="1"/>
  <c r="G42" i="3"/>
  <c r="G166" i="3"/>
  <c r="F94" i="3"/>
  <c r="G129" i="3"/>
  <c r="G43" i="3"/>
  <c r="I43" i="3" s="1"/>
  <c r="F143" i="3"/>
  <c r="F88" i="3"/>
  <c r="H88" i="3" s="1"/>
  <c r="F18" i="3"/>
  <c r="F53" i="3"/>
  <c r="F140" i="3"/>
  <c r="F35" i="3"/>
  <c r="G167" i="3"/>
  <c r="G112" i="3"/>
  <c r="I112" i="3" s="1"/>
  <c r="G81" i="3"/>
  <c r="G100" i="3"/>
  <c r="F181" i="3"/>
  <c r="G110" i="3"/>
  <c r="F4" i="3"/>
  <c r="F135" i="3"/>
  <c r="F56" i="3"/>
  <c r="H56" i="3" s="1"/>
  <c r="F201" i="3"/>
  <c r="F45" i="3"/>
  <c r="F132" i="3"/>
  <c r="F27" i="3"/>
  <c r="G159" i="3"/>
  <c r="G80" i="3"/>
  <c r="I80" i="3" s="1"/>
  <c r="G33" i="3"/>
  <c r="G36" i="3"/>
  <c r="G88" i="3"/>
  <c r="G34" i="3"/>
  <c r="F106" i="3"/>
  <c r="F162" i="3"/>
  <c r="F142" i="3"/>
  <c r="F165" i="3"/>
  <c r="F130" i="3"/>
  <c r="F60" i="3"/>
  <c r="F19" i="3"/>
  <c r="G65" i="3"/>
  <c r="I65" i="3" s="1"/>
  <c r="G87" i="3"/>
  <c r="I87" i="3" s="1"/>
  <c r="G57" i="3"/>
  <c r="I57" i="3" s="1"/>
  <c r="G94" i="3"/>
  <c r="G30" i="3"/>
  <c r="G101" i="3"/>
  <c r="I101" i="3" s="1"/>
  <c r="G37" i="3"/>
  <c r="G145" i="3"/>
  <c r="G56" i="3"/>
  <c r="I56" i="3" s="1"/>
  <c r="G148" i="3"/>
  <c r="G84" i="3"/>
  <c r="G20" i="3"/>
  <c r="G91" i="3"/>
  <c r="G154" i="3"/>
  <c r="G26" i="3"/>
  <c r="F66" i="3"/>
  <c r="H66" i="3" s="1"/>
  <c r="F168" i="3"/>
  <c r="F183" i="3"/>
  <c r="H183" i="3" s="1"/>
  <c r="F119" i="3"/>
  <c r="H119" i="3" s="1"/>
  <c r="F55" i="3"/>
  <c r="F146" i="3"/>
  <c r="F49" i="3"/>
  <c r="F198" i="3"/>
  <c r="F134" i="3"/>
  <c r="F70" i="3"/>
  <c r="F6" i="3"/>
  <c r="F137" i="3"/>
  <c r="F104" i="3"/>
  <c r="F157" i="3"/>
  <c r="F93" i="3"/>
  <c r="F29" i="3"/>
  <c r="F74" i="3"/>
  <c r="F160" i="3"/>
  <c r="F180" i="3"/>
  <c r="F116" i="3"/>
  <c r="F52" i="3"/>
  <c r="F163" i="3"/>
  <c r="F75" i="3"/>
  <c r="F11" i="3"/>
  <c r="F34" i="3"/>
  <c r="G49" i="3"/>
  <c r="G8" i="3"/>
  <c r="G143" i="3"/>
  <c r="G79" i="3"/>
  <c r="G15" i="3"/>
  <c r="G41" i="3"/>
  <c r="G48" i="3"/>
  <c r="G150" i="3"/>
  <c r="G86" i="3"/>
  <c r="I86" i="3" s="1"/>
  <c r="G22" i="3"/>
  <c r="G144" i="3"/>
  <c r="G157" i="3"/>
  <c r="G93" i="3"/>
  <c r="G29" i="3"/>
  <c r="G105" i="3"/>
  <c r="G24" i="3"/>
  <c r="G140" i="3"/>
  <c r="G76" i="3"/>
  <c r="G12" i="3"/>
  <c r="G147" i="3"/>
  <c r="G83" i="3"/>
  <c r="G19" i="3"/>
  <c r="G146" i="3"/>
  <c r="G82" i="3"/>
  <c r="G18" i="3"/>
  <c r="I18" i="3" s="1"/>
  <c r="G173" i="3"/>
  <c r="I173" i="3" s="1"/>
  <c r="G177" i="3"/>
  <c r="G156" i="3"/>
  <c r="G92" i="3"/>
  <c r="G28" i="3"/>
  <c r="G163" i="3"/>
  <c r="G98" i="3"/>
  <c r="F17" i="3"/>
  <c r="H17" i="3" s="1"/>
  <c r="F127" i="3"/>
  <c r="F8" i="3"/>
  <c r="F78" i="3"/>
  <c r="F144" i="3"/>
  <c r="F37" i="3"/>
  <c r="F124" i="3"/>
  <c r="F83" i="3"/>
  <c r="G40" i="3"/>
  <c r="G158" i="3"/>
  <c r="G90" i="3"/>
  <c r="I90" i="3" s="1"/>
  <c r="F2" i="3"/>
  <c r="F136" i="3"/>
  <c r="H136" i="3" s="1"/>
  <c r="F175" i="3"/>
  <c r="F111" i="3"/>
  <c r="H111" i="3" s="1"/>
  <c r="F47" i="3"/>
  <c r="F98" i="3"/>
  <c r="F25" i="3"/>
  <c r="F190" i="3"/>
  <c r="F126" i="3"/>
  <c r="F62" i="3"/>
  <c r="F155" i="3"/>
  <c r="F105" i="3"/>
  <c r="F72" i="3"/>
  <c r="H72" i="3" s="1"/>
  <c r="F149" i="3"/>
  <c r="F85" i="3"/>
  <c r="F21" i="3"/>
  <c r="F193" i="3"/>
  <c r="F128" i="3"/>
  <c r="F172" i="3"/>
  <c r="F108" i="3"/>
  <c r="F44" i="3"/>
  <c r="F131" i="3"/>
  <c r="F67" i="3"/>
  <c r="F3" i="3"/>
  <c r="F26" i="3"/>
  <c r="G9" i="3"/>
  <c r="G199" i="3"/>
  <c r="G135" i="3"/>
  <c r="I135" i="3" s="1"/>
  <c r="G71" i="3"/>
  <c r="G7" i="3"/>
  <c r="G25" i="3"/>
  <c r="G16" i="3"/>
  <c r="G142" i="3"/>
  <c r="G78" i="3"/>
  <c r="G14" i="3"/>
  <c r="G96" i="3"/>
  <c r="I96" i="3" s="1"/>
  <c r="G149" i="3"/>
  <c r="G85" i="3"/>
  <c r="G21" i="3"/>
  <c r="G73" i="3"/>
  <c r="G196" i="3"/>
  <c r="G132" i="3"/>
  <c r="G68" i="3"/>
  <c r="G4" i="3"/>
  <c r="G139" i="3"/>
  <c r="G75" i="3"/>
  <c r="G11" i="3"/>
  <c r="G138" i="3"/>
  <c r="G74" i="3"/>
  <c r="G10" i="3"/>
  <c r="G35" i="3"/>
  <c r="G165" i="3"/>
  <c r="F179" i="3"/>
  <c r="H179" i="3" s="1"/>
  <c r="F185" i="3"/>
  <c r="F112" i="3"/>
  <c r="F167" i="3"/>
  <c r="F103" i="3"/>
  <c r="F39" i="3"/>
  <c r="F58" i="3"/>
  <c r="F184" i="3"/>
  <c r="F182" i="3"/>
  <c r="F118" i="3"/>
  <c r="F54" i="3"/>
  <c r="F186" i="3"/>
  <c r="F73" i="3"/>
  <c r="F32" i="3"/>
  <c r="H32" i="3" s="1"/>
  <c r="F141" i="3"/>
  <c r="H141" i="3" s="1"/>
  <c r="F77" i="3"/>
  <c r="H77" i="3" s="1"/>
  <c r="F13" i="3"/>
  <c r="H13" i="3" s="1"/>
  <c r="F161" i="3"/>
  <c r="F96" i="3"/>
  <c r="H96" i="3" s="1"/>
  <c r="F164" i="3"/>
  <c r="H164" i="3" s="1"/>
  <c r="F100" i="3"/>
  <c r="F36" i="3"/>
  <c r="F123" i="3"/>
  <c r="F59" i="3"/>
  <c r="H59" i="3" s="1"/>
  <c r="F187" i="3"/>
  <c r="A1" i="4"/>
  <c r="G192" i="3"/>
  <c r="G191" i="3"/>
  <c r="G127" i="3"/>
  <c r="G63" i="3"/>
  <c r="G193" i="3"/>
  <c r="G184" i="3"/>
  <c r="G198" i="3"/>
  <c r="G134" i="3"/>
  <c r="G70" i="3"/>
  <c r="G6" i="3"/>
  <c r="G32" i="3"/>
  <c r="G141" i="3"/>
  <c r="G77" i="3"/>
  <c r="G13" i="3"/>
  <c r="G17" i="3"/>
  <c r="G188" i="3"/>
  <c r="I188" i="3" s="1"/>
  <c r="G124" i="3"/>
  <c r="I124" i="3" s="1"/>
  <c r="G60" i="3"/>
  <c r="I60" i="3" s="1"/>
  <c r="G195" i="3"/>
  <c r="G131" i="3"/>
  <c r="G67" i="3"/>
  <c r="G3" i="3"/>
  <c r="G130" i="3"/>
  <c r="G66" i="3"/>
  <c r="G2" i="3"/>
  <c r="G45" i="3"/>
  <c r="G99" i="3"/>
  <c r="F191" i="3"/>
  <c r="F89" i="3"/>
  <c r="F14" i="3"/>
  <c r="H14" i="3" s="1"/>
  <c r="F101" i="3"/>
  <c r="F188" i="3"/>
  <c r="H188" i="3" s="1"/>
  <c r="F171" i="3"/>
  <c r="F42" i="3"/>
  <c r="G23" i="3"/>
  <c r="G64" i="3"/>
  <c r="G176" i="3"/>
  <c r="G155" i="3"/>
  <c r="F147" i="3"/>
  <c r="F153" i="3"/>
  <c r="F80" i="3"/>
  <c r="F159" i="3"/>
  <c r="F95" i="3"/>
  <c r="F31" i="3"/>
  <c r="F10" i="3"/>
  <c r="F152" i="3"/>
  <c r="F174" i="3"/>
  <c r="F110" i="3"/>
  <c r="F46" i="3"/>
  <c r="F122" i="3"/>
  <c r="F41" i="3"/>
  <c r="F197" i="3"/>
  <c r="F133" i="3"/>
  <c r="H133" i="3" s="1"/>
  <c r="F69" i="3"/>
  <c r="F5" i="3"/>
  <c r="F129" i="3"/>
  <c r="F64" i="3"/>
  <c r="F156" i="3"/>
  <c r="F92" i="3"/>
  <c r="F28" i="3"/>
  <c r="F115" i="3"/>
  <c r="H115" i="3" s="1"/>
  <c r="F51" i="3"/>
  <c r="F178" i="3"/>
  <c r="G185" i="3"/>
  <c r="G168" i="3"/>
  <c r="G183" i="3"/>
  <c r="G119" i="3"/>
  <c r="G55" i="3"/>
  <c r="G169" i="3"/>
  <c r="G152" i="3"/>
  <c r="G190" i="3"/>
  <c r="G126" i="3"/>
  <c r="G62" i="3"/>
  <c r="G161" i="3"/>
  <c r="G197" i="3"/>
  <c r="I197" i="3" s="1"/>
  <c r="G133" i="3"/>
  <c r="I133" i="3" s="1"/>
  <c r="G69" i="3"/>
  <c r="G5" i="3"/>
  <c r="G200" i="3"/>
  <c r="G180" i="3"/>
  <c r="G116" i="3"/>
  <c r="G52" i="3"/>
  <c r="G187" i="3"/>
  <c r="G123" i="3"/>
  <c r="G59" i="3"/>
  <c r="I59" i="3" s="1"/>
  <c r="G186" i="3"/>
  <c r="G122" i="3"/>
  <c r="G58" i="3"/>
  <c r="B1" i="4"/>
  <c r="G109" i="3"/>
  <c r="G162" i="3"/>
  <c r="F63" i="3"/>
  <c r="F169" i="3"/>
  <c r="F192" i="3"/>
  <c r="G151" i="3"/>
  <c r="I151" i="3" s="1"/>
  <c r="G27" i="3"/>
  <c r="F194" i="3"/>
  <c r="F121" i="3"/>
  <c r="F48" i="3"/>
  <c r="F151" i="3"/>
  <c r="F87" i="3"/>
  <c r="F23" i="3"/>
  <c r="F177" i="3"/>
  <c r="H177" i="3" s="1"/>
  <c r="F120" i="3"/>
  <c r="F166" i="3"/>
  <c r="F102" i="3"/>
  <c r="F38" i="3"/>
  <c r="F90" i="3"/>
  <c r="F9" i="3"/>
  <c r="F189" i="3"/>
  <c r="F125" i="3"/>
  <c r="F61" i="3"/>
  <c r="H61" i="3" s="1"/>
  <c r="F195" i="3"/>
  <c r="F97" i="3"/>
  <c r="F40" i="3"/>
  <c r="H40" i="3" s="1"/>
  <c r="F148" i="3"/>
  <c r="F84" i="3"/>
  <c r="F20" i="3"/>
  <c r="F107" i="3"/>
  <c r="F43" i="3"/>
  <c r="H43" i="3" s="1"/>
  <c r="G153" i="3"/>
  <c r="G136" i="3"/>
  <c r="G175" i="3"/>
  <c r="I175" i="3" s="1"/>
  <c r="G111" i="3"/>
  <c r="I111" i="3" s="1"/>
  <c r="G47" i="3"/>
  <c r="G137" i="3"/>
  <c r="G128" i="3"/>
  <c r="G182" i="3"/>
  <c r="G118" i="3"/>
  <c r="G54" i="3"/>
  <c r="I54" i="3" s="1"/>
  <c r="G121" i="3"/>
  <c r="G189" i="3"/>
  <c r="G125" i="3"/>
  <c r="G61" i="3"/>
  <c r="G194" i="3"/>
  <c r="G160" i="3"/>
  <c r="G172" i="3"/>
  <c r="G108" i="3"/>
  <c r="G44" i="3"/>
  <c r="G179" i="3"/>
  <c r="I179" i="3" s="1"/>
  <c r="G115" i="3"/>
  <c r="I115" i="3" s="1"/>
  <c r="G51" i="3"/>
  <c r="G178" i="3"/>
  <c r="G114" i="3"/>
  <c r="I114" i="3" s="1"/>
  <c r="I50" i="3"/>
  <c r="I22" i="3" l="1"/>
  <c r="I146" i="3"/>
  <c r="I35" i="3"/>
  <c r="H151" i="3"/>
  <c r="I102" i="3"/>
  <c r="I182" i="3"/>
  <c r="H182" i="3"/>
  <c r="I45" i="3"/>
  <c r="H45" i="3"/>
  <c r="I103" i="3"/>
  <c r="H35" i="3"/>
  <c r="H103" i="3"/>
  <c r="H146" i="3"/>
  <c r="H176" i="3"/>
  <c r="I167" i="3"/>
  <c r="H167" i="3"/>
  <c r="H112" i="3"/>
  <c r="I67" i="3"/>
  <c r="H18" i="3"/>
  <c r="I198" i="3"/>
  <c r="H198" i="3"/>
  <c r="I118" i="3"/>
  <c r="H118" i="3"/>
  <c r="I68" i="3"/>
  <c r="H67" i="3"/>
  <c r="H100" i="3"/>
  <c r="I70" i="3"/>
  <c r="H70" i="3"/>
  <c r="I6" i="3"/>
  <c r="H6" i="3"/>
  <c r="H148" i="3"/>
  <c r="I66" i="3"/>
  <c r="H54" i="3"/>
  <c r="H84" i="3"/>
  <c r="I132" i="3"/>
  <c r="I127" i="3"/>
  <c r="I196" i="3"/>
  <c r="I148" i="3"/>
  <c r="I84" i="3"/>
  <c r="H68" i="3"/>
  <c r="I155" i="3"/>
  <c r="H155" i="3"/>
  <c r="H132" i="3"/>
  <c r="I165" i="3"/>
  <c r="I79" i="3"/>
  <c r="H165" i="3"/>
  <c r="I201" i="3"/>
  <c r="H79" i="3"/>
  <c r="H29" i="3"/>
  <c r="I93" i="3"/>
  <c r="H174" i="3"/>
  <c r="I130" i="3"/>
  <c r="I171" i="3"/>
  <c r="I29" i="3"/>
  <c r="H93" i="3"/>
  <c r="H130" i="3"/>
  <c r="H196" i="3"/>
  <c r="I174" i="3"/>
  <c r="H41" i="3"/>
  <c r="I195" i="3"/>
  <c r="H193" i="3"/>
  <c r="I46" i="3"/>
  <c r="H95" i="3"/>
  <c r="H195" i="3"/>
  <c r="H171" i="3"/>
  <c r="I27" i="3"/>
  <c r="I180" i="3"/>
  <c r="I7" i="3"/>
  <c r="H168" i="3"/>
  <c r="H99" i="3"/>
  <c r="H86" i="3"/>
  <c r="H22" i="3"/>
  <c r="H3" i="3"/>
  <c r="H116" i="3"/>
  <c r="I116" i="3"/>
  <c r="H46" i="3"/>
  <c r="H127" i="3"/>
  <c r="H106" i="3"/>
  <c r="H199" i="3"/>
  <c r="I140" i="3"/>
  <c r="I3" i="3"/>
  <c r="I13" i="3"/>
  <c r="H91" i="3"/>
  <c r="I193" i="3"/>
  <c r="I199" i="3"/>
  <c r="I41" i="3"/>
  <c r="I91" i="3"/>
  <c r="H140" i="3"/>
  <c r="H60" i="3"/>
  <c r="I100" i="3"/>
  <c r="I106" i="3"/>
  <c r="H53" i="3"/>
  <c r="I168" i="3"/>
  <c r="H80" i="3"/>
  <c r="I158" i="3"/>
  <c r="I53" i="3"/>
  <c r="I17" i="3"/>
  <c r="I61" i="3"/>
  <c r="H158" i="3"/>
  <c r="H124" i="3"/>
  <c r="H87" i="3"/>
  <c r="H83" i="3"/>
  <c r="I83" i="3"/>
  <c r="I28" i="3"/>
  <c r="I19" i="3"/>
  <c r="H75" i="3"/>
  <c r="I154" i="3"/>
  <c r="H94" i="3"/>
  <c r="H154" i="3"/>
  <c r="H28" i="3"/>
  <c r="H173" i="3"/>
  <c r="H50" i="3"/>
  <c r="I94" i="3"/>
  <c r="I183" i="3"/>
  <c r="H159" i="3"/>
  <c r="I138" i="3"/>
  <c r="I143" i="3"/>
  <c r="I185" i="3"/>
  <c r="H110" i="3"/>
  <c r="H185" i="3"/>
  <c r="I75" i="3"/>
  <c r="H98" i="3"/>
  <c r="H143" i="3"/>
  <c r="H19" i="3"/>
  <c r="I88" i="3"/>
  <c r="H201" i="3"/>
  <c r="H138" i="3"/>
  <c r="I98" i="3"/>
  <c r="I172" i="3"/>
  <c r="H172" i="3"/>
  <c r="H90" i="3"/>
  <c r="I30" i="3"/>
  <c r="H30" i="3"/>
  <c r="I121" i="3"/>
  <c r="I32" i="3"/>
  <c r="I108" i="3"/>
  <c r="H121" i="3"/>
  <c r="H181" i="3"/>
  <c r="H160" i="3"/>
  <c r="I160" i="3"/>
  <c r="H108" i="3"/>
  <c r="I147" i="3"/>
  <c r="I44" i="3"/>
  <c r="H44" i="3"/>
  <c r="I9" i="3"/>
  <c r="H113" i="3"/>
  <c r="I113" i="3"/>
  <c r="H194" i="3"/>
  <c r="H129" i="3"/>
  <c r="I126" i="3"/>
  <c r="I194" i="3"/>
  <c r="H5" i="3"/>
  <c r="H147" i="3"/>
  <c r="H101" i="3"/>
  <c r="H187" i="3"/>
  <c r="I129" i="3"/>
  <c r="I85" i="3"/>
  <c r="H149" i="3"/>
  <c r="H107" i="3"/>
  <c r="H47" i="3"/>
  <c r="I47" i="3"/>
  <c r="H120" i="3"/>
  <c r="I95" i="3"/>
  <c r="I181" i="3"/>
  <c r="I184" i="3"/>
  <c r="H184" i="3"/>
  <c r="H169" i="3"/>
  <c r="I169" i="3"/>
  <c r="H10" i="3"/>
  <c r="H175" i="3"/>
  <c r="I178" i="3"/>
  <c r="H178" i="3"/>
  <c r="I176" i="3"/>
  <c r="I77" i="3"/>
  <c r="H62" i="3"/>
  <c r="I99" i="3"/>
  <c r="H104" i="3"/>
  <c r="H102" i="3"/>
  <c r="I52" i="3"/>
  <c r="I12" i="3"/>
  <c r="H27" i="3"/>
  <c r="I170" i="3"/>
  <c r="I62" i="3"/>
  <c r="H180" i="3"/>
  <c r="I104" i="3"/>
  <c r="H170" i="3"/>
  <c r="H64" i="3"/>
  <c r="I149" i="3"/>
  <c r="I145" i="3"/>
  <c r="I31" i="3"/>
  <c r="I163" i="3"/>
  <c r="I48" i="3"/>
  <c r="H12" i="3"/>
  <c r="H63" i="3"/>
  <c r="I55" i="3"/>
  <c r="H31" i="3"/>
  <c r="I64" i="3"/>
  <c r="I63" i="3"/>
  <c r="H36" i="3"/>
  <c r="I92" i="3"/>
  <c r="H163" i="3"/>
  <c r="H145" i="3"/>
  <c r="I122" i="3"/>
  <c r="H48" i="3"/>
  <c r="I119" i="3"/>
  <c r="H92" i="3"/>
  <c r="H52" i="3"/>
  <c r="H55" i="3"/>
  <c r="I20" i="3"/>
  <c r="I161" i="3"/>
  <c r="I191" i="3"/>
  <c r="H186" i="3"/>
  <c r="H21" i="3"/>
  <c r="H190" i="3"/>
  <c r="H166" i="3"/>
  <c r="I21" i="3"/>
  <c r="H161" i="3"/>
  <c r="I40" i="3"/>
  <c r="I34" i="3"/>
  <c r="I128" i="3"/>
  <c r="I190" i="3"/>
  <c r="H11" i="3"/>
  <c r="I189" i="3"/>
  <c r="H197" i="3"/>
  <c r="H191" i="3"/>
  <c r="I10" i="3"/>
  <c r="H128" i="3"/>
  <c r="I166" i="3"/>
  <c r="H38" i="3"/>
  <c r="I136" i="3"/>
  <c r="H153" i="3"/>
  <c r="I49" i="3"/>
  <c r="I39" i="3"/>
  <c r="I58" i="3"/>
  <c r="H49" i="3"/>
  <c r="I134" i="3"/>
  <c r="H131" i="3"/>
  <c r="I131" i="3"/>
  <c r="I120" i="3"/>
  <c r="I74" i="3"/>
  <c r="H57" i="3"/>
  <c r="I89" i="3"/>
  <c r="H74" i="3"/>
  <c r="H89" i="3"/>
  <c r="I38" i="3"/>
  <c r="H117" i="3"/>
  <c r="I141" i="3"/>
  <c r="I23" i="3"/>
  <c r="H126" i="3"/>
  <c r="I153" i="3"/>
  <c r="H23" i="3"/>
  <c r="I5" i="3"/>
  <c r="I142" i="3"/>
  <c r="H142" i="3"/>
  <c r="I159" i="3"/>
  <c r="I110" i="3"/>
  <c r="H85" i="3"/>
  <c r="H82" i="3"/>
  <c r="H150" i="3"/>
  <c r="I82" i="3"/>
  <c r="I24" i="3"/>
  <c r="H34" i="3"/>
  <c r="H24" i="3"/>
  <c r="I152" i="3"/>
  <c r="H69" i="3"/>
  <c r="H152" i="3"/>
  <c r="H125" i="3"/>
  <c r="I150" i="3"/>
  <c r="H189" i="3"/>
  <c r="I186" i="3"/>
  <c r="I125" i="3"/>
  <c r="I69" i="3"/>
  <c r="H58" i="3"/>
  <c r="H9" i="3"/>
  <c r="I14" i="3"/>
  <c r="I33" i="3"/>
  <c r="H144" i="3"/>
  <c r="I187" i="3"/>
  <c r="H8" i="3"/>
  <c r="I144" i="3"/>
  <c r="I11" i="3"/>
  <c r="I8" i="3"/>
  <c r="I139" i="3"/>
  <c r="H33" i="3"/>
  <c r="H192" i="3"/>
  <c r="I78" i="3"/>
  <c r="H73" i="3"/>
  <c r="H78" i="3"/>
  <c r="H97" i="3"/>
  <c r="H122" i="3"/>
  <c r="I73" i="3"/>
  <c r="I192" i="3"/>
  <c r="I76" i="3"/>
  <c r="H7" i="3"/>
  <c r="I97" i="3"/>
  <c r="I123" i="3"/>
  <c r="H156" i="3"/>
  <c r="I177" i="3"/>
  <c r="I25" i="3"/>
  <c r="H25" i="3"/>
  <c r="I156" i="3"/>
  <c r="I162" i="3"/>
  <c r="I42" i="3"/>
  <c r="H42" i="3"/>
  <c r="H162" i="3"/>
  <c r="I81" i="3"/>
  <c r="H81" i="3"/>
  <c r="I200" i="3"/>
  <c r="I137" i="3"/>
  <c r="H51" i="3"/>
  <c r="I37" i="3"/>
  <c r="I36" i="3"/>
  <c r="I51" i="3"/>
  <c r="H20" i="3"/>
  <c r="H123" i="3"/>
  <c r="H37" i="3"/>
  <c r="I15" i="3"/>
  <c r="I16" i="3"/>
  <c r="H137" i="3"/>
  <c r="H15" i="3"/>
  <c r="H39" i="3"/>
  <c r="H4" i="3"/>
  <c r="I109" i="3"/>
  <c r="H76" i="3"/>
  <c r="H134" i="3"/>
  <c r="I4" i="3"/>
  <c r="H105" i="3"/>
  <c r="I105" i="3"/>
  <c r="I26" i="3"/>
  <c r="H71" i="3"/>
  <c r="I71" i="3"/>
  <c r="H109" i="3"/>
  <c r="H26" i="3"/>
  <c r="H16" i="3"/>
  <c r="H200" i="3"/>
  <c r="H139" i="3"/>
  <c r="I2" i="3"/>
  <c r="H2" i="3"/>
  <c r="I157" i="3"/>
  <c r="H157" i="3"/>
  <c r="H135" i="3"/>
  <c r="C42" i="7"/>
  <c r="B42" i="7"/>
  <c r="X15" i="4"/>
  <c r="X12" i="4" s="1"/>
  <c r="B40" i="7" l="1"/>
  <c r="C40" i="7" l="1"/>
  <c r="Q144" i="4"/>
  <c r="S144" i="4" s="1"/>
  <c r="K144" i="3" s="1"/>
  <c r="M144" i="3" s="1"/>
  <c r="S144" i="3" s="1"/>
  <c r="U144" i="3" s="1"/>
  <c r="W144" i="3" s="1"/>
  <c r="Y144" i="3" s="1"/>
  <c r="AA144" i="3" s="1"/>
  <c r="Q191" i="4"/>
  <c r="S191" i="4" s="1"/>
  <c r="K191" i="3" s="1"/>
  <c r="M191" i="3" s="1"/>
  <c r="S191" i="3" s="1"/>
  <c r="U191" i="3" s="1"/>
  <c r="W191" i="3" s="1"/>
  <c r="Y191" i="3" s="1"/>
  <c r="AA191" i="3" s="1"/>
  <c r="Q80" i="4"/>
  <c r="S80" i="4" s="1"/>
  <c r="J80" i="3" s="1"/>
  <c r="L80" i="3" s="1"/>
  <c r="R80" i="3" s="1"/>
  <c r="T80" i="3" s="1"/>
  <c r="V80" i="3" s="1"/>
  <c r="X80" i="3" s="1"/>
  <c r="Z80" i="3" s="1"/>
  <c r="Q16" i="4"/>
  <c r="S16" i="4" s="1"/>
  <c r="J16" i="3" s="1"/>
  <c r="L16" i="3" s="1"/>
  <c r="R16" i="3" s="1"/>
  <c r="T16" i="3" s="1"/>
  <c r="V16" i="3" s="1"/>
  <c r="X16" i="3" s="1"/>
  <c r="Z16" i="3" s="1"/>
  <c r="Q43" i="4"/>
  <c r="S43" i="4" s="1"/>
  <c r="K43" i="3" s="1"/>
  <c r="M43" i="3" s="1"/>
  <c r="S43" i="3" s="1"/>
  <c r="U43" i="3" s="1"/>
  <c r="W43" i="3" s="1"/>
  <c r="Y43" i="3" s="1"/>
  <c r="AA43" i="3" s="1"/>
  <c r="Q152" i="4"/>
  <c r="S152" i="4" s="1"/>
  <c r="J152" i="3" s="1"/>
  <c r="L152" i="3" s="1"/>
  <c r="R152" i="3" s="1"/>
  <c r="T152" i="3" s="1"/>
  <c r="V152" i="3" s="1"/>
  <c r="X152" i="3" s="1"/>
  <c r="Z152" i="3" s="1"/>
  <c r="Q198" i="4"/>
  <c r="S198" i="4" s="1"/>
  <c r="J198" i="3" s="1"/>
  <c r="L198" i="3" s="1"/>
  <c r="R198" i="3" s="1"/>
  <c r="T198" i="3" s="1"/>
  <c r="V198" i="3" s="1"/>
  <c r="X198" i="3" s="1"/>
  <c r="Z198" i="3" s="1"/>
  <c r="Q134" i="4"/>
  <c r="S134" i="4" s="1"/>
  <c r="J134" i="3" s="1"/>
  <c r="L134" i="3" s="1"/>
  <c r="R134" i="3" s="1"/>
  <c r="T134" i="3" s="1"/>
  <c r="V134" i="3" s="1"/>
  <c r="X134" i="3" s="1"/>
  <c r="Z134" i="3" s="1"/>
  <c r="Q70" i="4"/>
  <c r="S70" i="4" s="1"/>
  <c r="J70" i="3" s="1"/>
  <c r="L70" i="3" s="1"/>
  <c r="R70" i="3" s="1"/>
  <c r="T70" i="3" s="1"/>
  <c r="V70" i="3" s="1"/>
  <c r="X70" i="3" s="1"/>
  <c r="Z70" i="3" s="1"/>
  <c r="Q199" i="4"/>
  <c r="S199" i="4" s="1"/>
  <c r="J199" i="3" s="1"/>
  <c r="L199" i="3" s="1"/>
  <c r="R199" i="3" s="1"/>
  <c r="T199" i="3" s="1"/>
  <c r="V199" i="3" s="1"/>
  <c r="X199" i="3" s="1"/>
  <c r="Z199" i="3" s="1"/>
  <c r="Q6" i="4"/>
  <c r="S6" i="4" s="1"/>
  <c r="J6" i="3" s="1"/>
  <c r="L6" i="3" s="1"/>
  <c r="R6" i="3" s="1"/>
  <c r="T6" i="3" s="1"/>
  <c r="V6" i="3" s="1"/>
  <c r="X6" i="3" s="1"/>
  <c r="Z6" i="3" s="1"/>
  <c r="Q55" i="4"/>
  <c r="S55" i="4" s="1"/>
  <c r="J55" i="3" s="1"/>
  <c r="L55" i="3" s="1"/>
  <c r="R55" i="3" s="1"/>
  <c r="T55" i="3" s="1"/>
  <c r="V55" i="3" s="1"/>
  <c r="X55" i="3" s="1"/>
  <c r="Z55" i="3" s="1"/>
  <c r="Q19" i="4"/>
  <c r="S19" i="4" s="1"/>
  <c r="J19" i="3" s="1"/>
  <c r="L19" i="3" s="1"/>
  <c r="R19" i="3" s="1"/>
  <c r="T19" i="3" s="1"/>
  <c r="V19" i="3" s="1"/>
  <c r="X19" i="3" s="1"/>
  <c r="Z19" i="3" s="1"/>
  <c r="Q132" i="4"/>
  <c r="S132" i="4" s="1"/>
  <c r="K132" i="3" s="1"/>
  <c r="M132" i="3" s="1"/>
  <c r="S132" i="3" s="1"/>
  <c r="U132" i="3" s="1"/>
  <c r="W132" i="3" s="1"/>
  <c r="Y132" i="3" s="1"/>
  <c r="AA132" i="3" s="1"/>
  <c r="Q156" i="4"/>
  <c r="S156" i="4" s="1"/>
  <c r="K156" i="3" s="1"/>
  <c r="M156" i="3" s="1"/>
  <c r="S156" i="3" s="1"/>
  <c r="U156" i="3" s="1"/>
  <c r="W156" i="3" s="1"/>
  <c r="Y156" i="3" s="1"/>
  <c r="AA156" i="3" s="1"/>
  <c r="Q129" i="4"/>
  <c r="S129" i="4" s="1"/>
  <c r="K129" i="3" s="1"/>
  <c r="M129" i="3" s="1"/>
  <c r="S129" i="3" s="1"/>
  <c r="U129" i="3" s="1"/>
  <c r="W129" i="3" s="1"/>
  <c r="Y129" i="3" s="1"/>
  <c r="AA129" i="3" s="1"/>
  <c r="Q201" i="4"/>
  <c r="S201" i="4" s="1"/>
  <c r="J201" i="3" s="1"/>
  <c r="L201" i="3" s="1"/>
  <c r="R201" i="3" s="1"/>
  <c r="T201" i="3" s="1"/>
  <c r="V201" i="3" s="1"/>
  <c r="X201" i="3" s="1"/>
  <c r="Z201" i="3" s="1"/>
  <c r="Q157" i="4"/>
  <c r="S157" i="4" s="1"/>
  <c r="J157" i="3" s="1"/>
  <c r="L157" i="3" s="1"/>
  <c r="R157" i="3" s="1"/>
  <c r="T157" i="3" s="1"/>
  <c r="V157" i="3" s="1"/>
  <c r="X157" i="3" s="1"/>
  <c r="Z157" i="3" s="1"/>
  <c r="Q93" i="4"/>
  <c r="S93" i="4" s="1"/>
  <c r="J93" i="3" s="1"/>
  <c r="L93" i="3" s="1"/>
  <c r="R93" i="3" s="1"/>
  <c r="T93" i="3" s="1"/>
  <c r="V93" i="3" s="1"/>
  <c r="X93" i="3" s="1"/>
  <c r="Z93" i="3" s="1"/>
  <c r="Q108" i="4"/>
  <c r="S108" i="4" s="1"/>
  <c r="K108" i="3" s="1"/>
  <c r="M108" i="3" s="1"/>
  <c r="S108" i="3" s="1"/>
  <c r="U108" i="3" s="1"/>
  <c r="W108" i="3" s="1"/>
  <c r="Y108" i="3" s="1"/>
  <c r="AA108" i="3" s="1"/>
  <c r="Q50" i="4"/>
  <c r="S50" i="4" s="1"/>
  <c r="K50" i="3" s="1"/>
  <c r="M50" i="3" s="1"/>
  <c r="S50" i="3" s="1"/>
  <c r="U50" i="3" s="1"/>
  <c r="W50" i="3" s="1"/>
  <c r="Y50" i="3" s="1"/>
  <c r="AA50" i="3" s="1"/>
  <c r="Q97" i="4"/>
  <c r="S97" i="4" s="1"/>
  <c r="J97" i="3" s="1"/>
  <c r="L97" i="3" s="1"/>
  <c r="R97" i="3" s="1"/>
  <c r="T97" i="3" s="1"/>
  <c r="V97" i="3" s="1"/>
  <c r="X97" i="3" s="1"/>
  <c r="Z97" i="3" s="1"/>
  <c r="Q8" i="4"/>
  <c r="S8" i="4" s="1"/>
  <c r="K8" i="3" s="1"/>
  <c r="M8" i="3" s="1"/>
  <c r="S8" i="3" s="1"/>
  <c r="U8" i="3" s="1"/>
  <c r="W8" i="3" s="1"/>
  <c r="Y8" i="3" s="1"/>
  <c r="AA8" i="3" s="1"/>
  <c r="Q195" i="4"/>
  <c r="S195" i="4" s="1"/>
  <c r="K195" i="3" s="1"/>
  <c r="M195" i="3" s="1"/>
  <c r="S195" i="3" s="1"/>
  <c r="U195" i="3" s="1"/>
  <c r="W195" i="3" s="1"/>
  <c r="Y195" i="3" s="1"/>
  <c r="AA195" i="3" s="1"/>
  <c r="Q126" i="4"/>
  <c r="S126" i="4" s="1"/>
  <c r="J126" i="3" s="1"/>
  <c r="L126" i="3" s="1"/>
  <c r="R126" i="3" s="1"/>
  <c r="T126" i="3" s="1"/>
  <c r="V126" i="3" s="1"/>
  <c r="X126" i="3" s="1"/>
  <c r="Z126" i="3" s="1"/>
  <c r="Q183" i="4"/>
  <c r="S183" i="4" s="1"/>
  <c r="K183" i="3" s="1"/>
  <c r="M183" i="3" s="1"/>
  <c r="S183" i="3" s="1"/>
  <c r="U183" i="3" s="1"/>
  <c r="W183" i="3" s="1"/>
  <c r="Y183" i="3" s="1"/>
  <c r="AA183" i="3" s="1"/>
  <c r="Q100" i="4"/>
  <c r="S100" i="4" s="1"/>
  <c r="J100" i="3" s="1"/>
  <c r="L100" i="3" s="1"/>
  <c r="R100" i="3" s="1"/>
  <c r="T100" i="3" s="1"/>
  <c r="V100" i="3" s="1"/>
  <c r="X100" i="3" s="1"/>
  <c r="Z100" i="3" s="1"/>
  <c r="Q42" i="4"/>
  <c r="S42" i="4" s="1"/>
  <c r="J42" i="3" s="1"/>
  <c r="L42" i="3" s="1"/>
  <c r="R42" i="3" s="1"/>
  <c r="T42" i="3" s="1"/>
  <c r="V42" i="3" s="1"/>
  <c r="X42" i="3" s="1"/>
  <c r="Z42" i="3" s="1"/>
  <c r="Q139" i="4"/>
  <c r="S139" i="4" s="1"/>
  <c r="K139" i="3" s="1"/>
  <c r="M139" i="3" s="1"/>
  <c r="S139" i="3" s="1"/>
  <c r="U139" i="3" s="1"/>
  <c r="W139" i="3" s="1"/>
  <c r="Y139" i="3" s="1"/>
  <c r="AA139" i="3" s="1"/>
  <c r="Q128" i="4"/>
  <c r="S128" i="4" s="1"/>
  <c r="J128" i="3" s="1"/>
  <c r="L128" i="3" s="1"/>
  <c r="R128" i="3" s="1"/>
  <c r="T128" i="3" s="1"/>
  <c r="V128" i="3" s="1"/>
  <c r="X128" i="3" s="1"/>
  <c r="Z128" i="3" s="1"/>
  <c r="Q164" i="4"/>
  <c r="S164" i="4" s="1"/>
  <c r="K164" i="3" s="1"/>
  <c r="M164" i="3" s="1"/>
  <c r="S164" i="3" s="1"/>
  <c r="U164" i="3" s="1"/>
  <c r="W164" i="3" s="1"/>
  <c r="Y164" i="3" s="1"/>
  <c r="AA164" i="3" s="1"/>
  <c r="Q143" i="4"/>
  <c r="S143" i="4" s="1"/>
  <c r="J143" i="3" s="1"/>
  <c r="L143" i="3" s="1"/>
  <c r="R143" i="3" s="1"/>
  <c r="T143" i="3" s="1"/>
  <c r="V143" i="3" s="1"/>
  <c r="X143" i="3" s="1"/>
  <c r="Z143" i="3" s="1"/>
  <c r="Q163" i="4"/>
  <c r="S163" i="4" s="1"/>
  <c r="J163" i="3" s="1"/>
  <c r="L163" i="3" s="1"/>
  <c r="R163" i="3" s="1"/>
  <c r="T163" i="3" s="1"/>
  <c r="V163" i="3" s="1"/>
  <c r="X163" i="3" s="1"/>
  <c r="Z163" i="3" s="1"/>
  <c r="Q151" i="4"/>
  <c r="S151" i="4" s="1"/>
  <c r="K151" i="3" s="1"/>
  <c r="M151" i="3" s="1"/>
  <c r="S151" i="3" s="1"/>
  <c r="U151" i="3" s="1"/>
  <c r="W151" i="3" s="1"/>
  <c r="Y151" i="3" s="1"/>
  <c r="AA151" i="3" s="1"/>
  <c r="Q118" i="4"/>
  <c r="S118" i="4" s="1"/>
  <c r="J118" i="3" s="1"/>
  <c r="L118" i="3" s="1"/>
  <c r="R118" i="3" s="1"/>
  <c r="T118" i="3" s="1"/>
  <c r="V118" i="3" s="1"/>
  <c r="X118" i="3" s="1"/>
  <c r="Z118" i="3" s="1"/>
  <c r="Q148" i="4"/>
  <c r="S148" i="4" s="1"/>
  <c r="K148" i="3" s="1"/>
  <c r="M148" i="3" s="1"/>
  <c r="S148" i="3" s="1"/>
  <c r="U148" i="3" s="1"/>
  <c r="W148" i="3" s="1"/>
  <c r="Y148" i="3" s="1"/>
  <c r="AA148" i="3" s="1"/>
  <c r="Q159" i="4"/>
  <c r="S159" i="4" s="1"/>
  <c r="K159" i="3" s="1"/>
  <c r="M159" i="3" s="1"/>
  <c r="S159" i="3" s="1"/>
  <c r="U159" i="3" s="1"/>
  <c r="W159" i="3" s="1"/>
  <c r="Y159" i="3" s="1"/>
  <c r="AA159" i="3" s="1"/>
  <c r="Q141" i="4"/>
  <c r="S141" i="4" s="1"/>
  <c r="J141" i="3" s="1"/>
  <c r="L141" i="3" s="1"/>
  <c r="R141" i="3" s="1"/>
  <c r="T141" i="3" s="1"/>
  <c r="V141" i="3" s="1"/>
  <c r="X141" i="3" s="1"/>
  <c r="Z141" i="3" s="1"/>
  <c r="Q77" i="4"/>
  <c r="S77" i="4" s="1"/>
  <c r="J77" i="3" s="1"/>
  <c r="L77" i="3" s="1"/>
  <c r="R77" i="3" s="1"/>
  <c r="T77" i="3" s="1"/>
  <c r="V77" i="3" s="1"/>
  <c r="X77" i="3" s="1"/>
  <c r="Z77" i="3" s="1"/>
  <c r="Q13" i="4"/>
  <c r="S13" i="4" s="1"/>
  <c r="K13" i="3" s="1"/>
  <c r="M13" i="3" s="1"/>
  <c r="S13" i="3" s="1"/>
  <c r="U13" i="3" s="1"/>
  <c r="W13" i="3" s="1"/>
  <c r="Y13" i="3" s="1"/>
  <c r="AA13" i="3" s="1"/>
  <c r="Q92" i="4"/>
  <c r="S92" i="4" s="1"/>
  <c r="J92" i="3" s="1"/>
  <c r="L92" i="3" s="1"/>
  <c r="R92" i="3" s="1"/>
  <c r="T92" i="3" s="1"/>
  <c r="V92" i="3" s="1"/>
  <c r="X92" i="3" s="1"/>
  <c r="Z92" i="3" s="1"/>
  <c r="Q162" i="4"/>
  <c r="S162" i="4" s="1"/>
  <c r="J162" i="3" s="1"/>
  <c r="L162" i="3" s="1"/>
  <c r="R162" i="3" s="1"/>
  <c r="T162" i="3" s="1"/>
  <c r="V162" i="3" s="1"/>
  <c r="X162" i="3" s="1"/>
  <c r="Z162" i="3" s="1"/>
  <c r="Q98" i="4"/>
  <c r="S98" i="4" s="1"/>
  <c r="K98" i="3" s="1"/>
  <c r="M98" i="3" s="1"/>
  <c r="S98" i="3" s="1"/>
  <c r="U98" i="3" s="1"/>
  <c r="W98" i="3" s="1"/>
  <c r="Y98" i="3" s="1"/>
  <c r="AA98" i="3" s="1"/>
  <c r="Q34" i="4"/>
  <c r="S34" i="4" s="1"/>
  <c r="K34" i="3" s="1"/>
  <c r="M34" i="3" s="1"/>
  <c r="S34" i="3" s="1"/>
  <c r="U34" i="3" s="1"/>
  <c r="W34" i="3" s="1"/>
  <c r="Y34" i="3" s="1"/>
  <c r="AA34" i="3" s="1"/>
  <c r="Q99" i="4"/>
  <c r="S99" i="4" s="1"/>
  <c r="J99" i="3" s="1"/>
  <c r="L99" i="3" s="1"/>
  <c r="R99" i="3" s="1"/>
  <c r="T99" i="3" s="1"/>
  <c r="V99" i="3" s="1"/>
  <c r="X99" i="3" s="1"/>
  <c r="Z99" i="3" s="1"/>
  <c r="Q49" i="4"/>
  <c r="S49" i="4" s="1"/>
  <c r="K49" i="3" s="1"/>
  <c r="M49" i="3" s="1"/>
  <c r="S49" i="3" s="1"/>
  <c r="U49" i="3" s="1"/>
  <c r="W49" i="3" s="1"/>
  <c r="Y49" i="3" s="1"/>
  <c r="AA49" i="3" s="1"/>
  <c r="Q120" i="4"/>
  <c r="S120" i="4" s="1"/>
  <c r="J120" i="3" s="1"/>
  <c r="L120" i="3" s="1"/>
  <c r="R120" i="3" s="1"/>
  <c r="T120" i="3" s="1"/>
  <c r="V120" i="3" s="1"/>
  <c r="X120" i="3" s="1"/>
  <c r="Z120" i="3" s="1"/>
  <c r="Q56" i="4"/>
  <c r="S56" i="4" s="1"/>
  <c r="J56" i="3" s="1"/>
  <c r="L56" i="3" s="1"/>
  <c r="R56" i="3" s="1"/>
  <c r="T56" i="3" s="1"/>
  <c r="V56" i="3" s="1"/>
  <c r="X56" i="3" s="1"/>
  <c r="Z56" i="3" s="1"/>
  <c r="Q187" i="4"/>
  <c r="S187" i="4" s="1"/>
  <c r="K187" i="3" s="1"/>
  <c r="M187" i="3" s="1"/>
  <c r="S187" i="3" s="1"/>
  <c r="U187" i="3" s="1"/>
  <c r="W187" i="3" s="1"/>
  <c r="Y187" i="3" s="1"/>
  <c r="AA187" i="3" s="1"/>
  <c r="Q137" i="4"/>
  <c r="S137" i="4" s="1"/>
  <c r="J137" i="3" s="1"/>
  <c r="L137" i="3" s="1"/>
  <c r="R137" i="3" s="1"/>
  <c r="T137" i="3" s="1"/>
  <c r="V137" i="3" s="1"/>
  <c r="X137" i="3" s="1"/>
  <c r="Z137" i="3" s="1"/>
  <c r="Q119" i="4"/>
  <c r="S119" i="4" s="1"/>
  <c r="J119" i="3" s="1"/>
  <c r="L119" i="3" s="1"/>
  <c r="R119" i="3" s="1"/>
  <c r="T119" i="3" s="1"/>
  <c r="V119" i="3" s="1"/>
  <c r="X119" i="3" s="1"/>
  <c r="Z119" i="3" s="1"/>
  <c r="Q31" i="4"/>
  <c r="S31" i="4" s="1"/>
  <c r="K31" i="3" s="1"/>
  <c r="M31" i="3" s="1"/>
  <c r="S31" i="3" s="1"/>
  <c r="U31" i="3" s="1"/>
  <c r="W31" i="3" s="1"/>
  <c r="Y31" i="3" s="1"/>
  <c r="AA31" i="3" s="1"/>
  <c r="Q147" i="4"/>
  <c r="S147" i="4" s="1"/>
  <c r="K147" i="3" s="1"/>
  <c r="M147" i="3" s="1"/>
  <c r="S147" i="3" s="1"/>
  <c r="U147" i="3" s="1"/>
  <c r="W147" i="3" s="1"/>
  <c r="Y147" i="3" s="1"/>
  <c r="AA147" i="3" s="1"/>
  <c r="Q113" i="4"/>
  <c r="S113" i="4" s="1"/>
  <c r="J113" i="3" s="1"/>
  <c r="L113" i="3" s="1"/>
  <c r="R113" i="3" s="1"/>
  <c r="T113" i="3" s="1"/>
  <c r="V113" i="3" s="1"/>
  <c r="X113" i="3" s="1"/>
  <c r="Z113" i="3" s="1"/>
  <c r="Q135" i="4"/>
  <c r="S135" i="4" s="1"/>
  <c r="J135" i="3" s="1"/>
  <c r="L135" i="3" s="1"/>
  <c r="R135" i="3" s="1"/>
  <c r="T135" i="3" s="1"/>
  <c r="V135" i="3" s="1"/>
  <c r="X135" i="3" s="1"/>
  <c r="Z135" i="3" s="1"/>
  <c r="Q174" i="4"/>
  <c r="S174" i="4" s="1"/>
  <c r="J174" i="3" s="1"/>
  <c r="L174" i="3" s="1"/>
  <c r="R174" i="3" s="1"/>
  <c r="T174" i="3" s="1"/>
  <c r="V174" i="3" s="1"/>
  <c r="X174" i="3" s="1"/>
  <c r="Z174" i="3" s="1"/>
  <c r="Q110" i="4"/>
  <c r="S110" i="4" s="1"/>
  <c r="J110" i="3" s="1"/>
  <c r="L110" i="3" s="1"/>
  <c r="R110" i="3" s="1"/>
  <c r="T110" i="3" s="1"/>
  <c r="V110" i="3" s="1"/>
  <c r="X110" i="3" s="1"/>
  <c r="Z110" i="3" s="1"/>
  <c r="Q46" i="4"/>
  <c r="S46" i="4" s="1"/>
  <c r="K46" i="3" s="1"/>
  <c r="M46" i="3" s="1"/>
  <c r="S46" i="3" s="1"/>
  <c r="U46" i="3" s="1"/>
  <c r="W46" i="3" s="1"/>
  <c r="Y46" i="3" s="1"/>
  <c r="AA46" i="3" s="1"/>
  <c r="Q179" i="4"/>
  <c r="S179" i="4" s="1"/>
  <c r="K179" i="3" s="1"/>
  <c r="M179" i="3" s="1"/>
  <c r="S179" i="3" s="1"/>
  <c r="U179" i="3" s="1"/>
  <c r="W179" i="3" s="1"/>
  <c r="Y179" i="3" s="1"/>
  <c r="AA179" i="3" s="1"/>
  <c r="Q121" i="4"/>
  <c r="S121" i="4" s="1"/>
  <c r="K121" i="3" s="1"/>
  <c r="M121" i="3" s="1"/>
  <c r="S121" i="3" s="1"/>
  <c r="U121" i="3" s="1"/>
  <c r="W121" i="3" s="1"/>
  <c r="Y121" i="3" s="1"/>
  <c r="AA121" i="3" s="1"/>
  <c r="Q197" i="4"/>
  <c r="S197" i="4" s="1"/>
  <c r="J197" i="3" s="1"/>
  <c r="L197" i="3" s="1"/>
  <c r="R197" i="3" s="1"/>
  <c r="T197" i="3" s="1"/>
  <c r="V197" i="3" s="1"/>
  <c r="X197" i="3" s="1"/>
  <c r="Z197" i="3" s="1"/>
  <c r="Q133" i="4"/>
  <c r="S133" i="4" s="1"/>
  <c r="J133" i="3" s="1"/>
  <c r="L133" i="3" s="1"/>
  <c r="R133" i="3" s="1"/>
  <c r="T133" i="3" s="1"/>
  <c r="V133" i="3" s="1"/>
  <c r="X133" i="3" s="1"/>
  <c r="Z133" i="3" s="1"/>
  <c r="Q69" i="4"/>
  <c r="S69" i="4" s="1"/>
  <c r="J69" i="3" s="1"/>
  <c r="L69" i="3" s="1"/>
  <c r="R69" i="3" s="1"/>
  <c r="T69" i="3" s="1"/>
  <c r="V69" i="3" s="1"/>
  <c r="X69" i="3" s="1"/>
  <c r="Z69" i="3" s="1"/>
  <c r="Q5" i="4"/>
  <c r="S5" i="4" s="1"/>
  <c r="J5" i="3" s="1"/>
  <c r="L5" i="3" s="1"/>
  <c r="R5" i="3" s="1"/>
  <c r="T5" i="3" s="1"/>
  <c r="V5" i="3" s="1"/>
  <c r="X5" i="3" s="1"/>
  <c r="Z5" i="3" s="1"/>
  <c r="Q84" i="4"/>
  <c r="S84" i="4" s="1"/>
  <c r="J84" i="3" s="1"/>
  <c r="L84" i="3" s="1"/>
  <c r="R84" i="3" s="1"/>
  <c r="T84" i="3" s="1"/>
  <c r="V84" i="3" s="1"/>
  <c r="X84" i="3" s="1"/>
  <c r="Z84" i="3" s="1"/>
  <c r="Q20" i="4"/>
  <c r="S20" i="4" s="1"/>
  <c r="J20" i="3" s="1"/>
  <c r="L20" i="3" s="1"/>
  <c r="R20" i="3" s="1"/>
  <c r="T20" i="3" s="1"/>
  <c r="V20" i="3" s="1"/>
  <c r="X20" i="3" s="1"/>
  <c r="Z20" i="3" s="1"/>
  <c r="Q154" i="4"/>
  <c r="S154" i="4" s="1"/>
  <c r="K154" i="3" s="1"/>
  <c r="M154" i="3" s="1"/>
  <c r="S154" i="3" s="1"/>
  <c r="U154" i="3" s="1"/>
  <c r="W154" i="3" s="1"/>
  <c r="Y154" i="3" s="1"/>
  <c r="AA154" i="3" s="1"/>
  <c r="Q90" i="4"/>
  <c r="S90" i="4" s="1"/>
  <c r="K90" i="3" s="1"/>
  <c r="M90" i="3" s="1"/>
  <c r="S90" i="3" s="1"/>
  <c r="U90" i="3" s="1"/>
  <c r="W90" i="3" s="1"/>
  <c r="Y90" i="3" s="1"/>
  <c r="AA90" i="3" s="1"/>
  <c r="Q26" i="4"/>
  <c r="S26" i="4" s="1"/>
  <c r="K26" i="3" s="1"/>
  <c r="M26" i="3" s="1"/>
  <c r="S26" i="3" s="1"/>
  <c r="U26" i="3" s="1"/>
  <c r="W26" i="3" s="1"/>
  <c r="Y26" i="3" s="1"/>
  <c r="AA26" i="3" s="1"/>
  <c r="Q171" i="4"/>
  <c r="S171" i="4" s="1"/>
  <c r="K171" i="3" s="1"/>
  <c r="M171" i="3" s="1"/>
  <c r="S171" i="3" s="1"/>
  <c r="U171" i="3" s="1"/>
  <c r="W171" i="3" s="1"/>
  <c r="Y171" i="3" s="1"/>
  <c r="AA171" i="3" s="1"/>
  <c r="Q136" i="4"/>
  <c r="S136" i="4" s="1"/>
  <c r="J136" i="3" s="1"/>
  <c r="L136" i="3" s="1"/>
  <c r="R136" i="3" s="1"/>
  <c r="T136" i="3" s="1"/>
  <c r="V136" i="3" s="1"/>
  <c r="X136" i="3" s="1"/>
  <c r="Z136" i="3" s="1"/>
  <c r="Q27" i="4"/>
  <c r="S27" i="4" s="1"/>
  <c r="K27" i="3" s="1"/>
  <c r="M27" i="3" s="1"/>
  <c r="S27" i="3" s="1"/>
  <c r="U27" i="3" s="1"/>
  <c r="W27" i="3" s="1"/>
  <c r="Y27" i="3" s="1"/>
  <c r="AA27" i="3" s="1"/>
  <c r="Q177" i="4"/>
  <c r="S177" i="4" s="1"/>
  <c r="K177" i="3" s="1"/>
  <c r="M177" i="3" s="1"/>
  <c r="S177" i="3" s="1"/>
  <c r="U177" i="3" s="1"/>
  <c r="W177" i="3" s="1"/>
  <c r="Y177" i="3" s="1"/>
  <c r="AA177" i="3" s="1"/>
  <c r="Q167" i="4"/>
  <c r="S167" i="4" s="1"/>
  <c r="J167" i="3" s="1"/>
  <c r="L167" i="3" s="1"/>
  <c r="R167" i="3" s="1"/>
  <c r="T167" i="3" s="1"/>
  <c r="V167" i="3" s="1"/>
  <c r="X167" i="3" s="1"/>
  <c r="Z167" i="3" s="1"/>
  <c r="Q62" i="4"/>
  <c r="S62" i="4" s="1"/>
  <c r="J62" i="3" s="1"/>
  <c r="L62" i="3" s="1"/>
  <c r="R62" i="3" s="1"/>
  <c r="T62" i="3" s="1"/>
  <c r="V62" i="3" s="1"/>
  <c r="X62" i="3" s="1"/>
  <c r="Z62" i="3" s="1"/>
  <c r="Q180" i="4"/>
  <c r="S180" i="4" s="1"/>
  <c r="K180" i="3" s="1"/>
  <c r="M180" i="3" s="1"/>
  <c r="S180" i="3" s="1"/>
  <c r="U180" i="3" s="1"/>
  <c r="W180" i="3" s="1"/>
  <c r="Y180" i="3" s="1"/>
  <c r="AA180" i="3" s="1"/>
  <c r="Q149" i="4"/>
  <c r="S149" i="4" s="1"/>
  <c r="J149" i="3" s="1"/>
  <c r="L149" i="3" s="1"/>
  <c r="R149" i="3" s="1"/>
  <c r="T149" i="3" s="1"/>
  <c r="V149" i="3" s="1"/>
  <c r="X149" i="3" s="1"/>
  <c r="Z149" i="3" s="1"/>
  <c r="Q21" i="4"/>
  <c r="S21" i="4" s="1"/>
  <c r="J21" i="3" s="1"/>
  <c r="L21" i="3" s="1"/>
  <c r="R21" i="3" s="1"/>
  <c r="T21" i="3" s="1"/>
  <c r="V21" i="3" s="1"/>
  <c r="X21" i="3" s="1"/>
  <c r="Z21" i="3" s="1"/>
  <c r="Q106" i="4"/>
  <c r="S106" i="4" s="1"/>
  <c r="J106" i="3" s="1"/>
  <c r="L106" i="3" s="1"/>
  <c r="R106" i="3" s="1"/>
  <c r="T106" i="3" s="1"/>
  <c r="V106" i="3" s="1"/>
  <c r="X106" i="3" s="1"/>
  <c r="Z106" i="3" s="1"/>
  <c r="Q81" i="4"/>
  <c r="S81" i="4" s="1"/>
  <c r="J81" i="3" s="1"/>
  <c r="L81" i="3" s="1"/>
  <c r="R81" i="3" s="1"/>
  <c r="T81" i="3" s="1"/>
  <c r="V81" i="3" s="1"/>
  <c r="X81" i="3" s="1"/>
  <c r="Z81" i="3" s="1"/>
  <c r="Q64" i="4"/>
  <c r="S64" i="4" s="1"/>
  <c r="K64" i="3" s="1"/>
  <c r="M64" i="3" s="1"/>
  <c r="S64" i="3" s="1"/>
  <c r="U64" i="3" s="1"/>
  <c r="W64" i="3" s="1"/>
  <c r="Y64" i="3" s="1"/>
  <c r="AA64" i="3" s="1"/>
  <c r="Q169" i="4"/>
  <c r="S169" i="4" s="1"/>
  <c r="J169" i="3" s="1"/>
  <c r="L169" i="3" s="1"/>
  <c r="R169" i="3" s="1"/>
  <c r="T169" i="3" s="1"/>
  <c r="V169" i="3" s="1"/>
  <c r="X169" i="3" s="1"/>
  <c r="Z169" i="3" s="1"/>
  <c r="Q39" i="4"/>
  <c r="S39" i="4" s="1"/>
  <c r="J39" i="3" s="1"/>
  <c r="L39" i="3" s="1"/>
  <c r="R39" i="3" s="1"/>
  <c r="T39" i="3" s="1"/>
  <c r="V39" i="3" s="1"/>
  <c r="X39" i="3" s="1"/>
  <c r="Z39" i="3" s="1"/>
  <c r="Q145" i="4"/>
  <c r="S145" i="4" s="1"/>
  <c r="J145" i="3" s="1"/>
  <c r="L145" i="3" s="1"/>
  <c r="R145" i="3" s="1"/>
  <c r="T145" i="3" s="1"/>
  <c r="V145" i="3" s="1"/>
  <c r="X145" i="3" s="1"/>
  <c r="Z145" i="3" s="1"/>
  <c r="Q182" i="4"/>
  <c r="S182" i="4" s="1"/>
  <c r="J182" i="3" s="1"/>
  <c r="L182" i="3" s="1"/>
  <c r="R182" i="3" s="1"/>
  <c r="T182" i="3" s="1"/>
  <c r="V182" i="3" s="1"/>
  <c r="X182" i="3" s="1"/>
  <c r="Z182" i="3" s="1"/>
  <c r="Q54" i="4"/>
  <c r="S54" i="4" s="1"/>
  <c r="K54" i="3" s="1"/>
  <c r="M54" i="3" s="1"/>
  <c r="S54" i="3" s="1"/>
  <c r="U54" i="3" s="1"/>
  <c r="W54" i="3" s="1"/>
  <c r="Y54" i="3" s="1"/>
  <c r="AA54" i="3" s="1"/>
  <c r="Q153" i="4"/>
  <c r="S153" i="4" s="1"/>
  <c r="J153" i="3" s="1"/>
  <c r="L153" i="3" s="1"/>
  <c r="R153" i="3" s="1"/>
  <c r="T153" i="3" s="1"/>
  <c r="V153" i="3" s="1"/>
  <c r="X153" i="3" s="1"/>
  <c r="Z153" i="3" s="1"/>
  <c r="Q28" i="4"/>
  <c r="S28" i="4" s="1"/>
  <c r="J28" i="3" s="1"/>
  <c r="L28" i="3" s="1"/>
  <c r="R28" i="3" s="1"/>
  <c r="T28" i="3" s="1"/>
  <c r="V28" i="3" s="1"/>
  <c r="X28" i="3" s="1"/>
  <c r="Z28" i="3" s="1"/>
  <c r="Q59" i="4"/>
  <c r="S59" i="4" s="1"/>
  <c r="J59" i="3" s="1"/>
  <c r="L59" i="3" s="1"/>
  <c r="R59" i="3" s="1"/>
  <c r="T59" i="3" s="1"/>
  <c r="V59" i="3" s="1"/>
  <c r="X59" i="3" s="1"/>
  <c r="Z59" i="3" s="1"/>
  <c r="Q41" i="4"/>
  <c r="S41" i="4" s="1"/>
  <c r="K41" i="3" s="1"/>
  <c r="M41" i="3" s="1"/>
  <c r="S41" i="3" s="1"/>
  <c r="U41" i="3" s="1"/>
  <c r="W41" i="3" s="1"/>
  <c r="Y41" i="3" s="1"/>
  <c r="AA41" i="3" s="1"/>
  <c r="Q112" i="4"/>
  <c r="S112" i="4" s="1"/>
  <c r="K112" i="3" s="1"/>
  <c r="M112" i="3" s="1"/>
  <c r="S112" i="3" s="1"/>
  <c r="U112" i="3" s="1"/>
  <c r="W112" i="3" s="1"/>
  <c r="Y112" i="3" s="1"/>
  <c r="AA112" i="3" s="1"/>
  <c r="Q48" i="4"/>
  <c r="S48" i="4" s="1"/>
  <c r="K48" i="3" s="1"/>
  <c r="M48" i="3" s="1"/>
  <c r="S48" i="3" s="1"/>
  <c r="U48" i="3" s="1"/>
  <c r="W48" i="3" s="1"/>
  <c r="Y48" i="3" s="1"/>
  <c r="AA48" i="3" s="1"/>
  <c r="Q155" i="4"/>
  <c r="S155" i="4" s="1"/>
  <c r="K155" i="3" s="1"/>
  <c r="M155" i="3" s="1"/>
  <c r="S155" i="3" s="1"/>
  <c r="U155" i="3" s="1"/>
  <c r="W155" i="3" s="1"/>
  <c r="Y155" i="3" s="1"/>
  <c r="AA155" i="3" s="1"/>
  <c r="Q105" i="4"/>
  <c r="S105" i="4" s="1"/>
  <c r="J105" i="3" s="1"/>
  <c r="L105" i="3" s="1"/>
  <c r="R105" i="3" s="1"/>
  <c r="T105" i="3" s="1"/>
  <c r="V105" i="3" s="1"/>
  <c r="X105" i="3" s="1"/>
  <c r="Z105" i="3" s="1"/>
  <c r="Q95" i="4"/>
  <c r="S95" i="4" s="1"/>
  <c r="K95" i="3" s="1"/>
  <c r="M95" i="3" s="1"/>
  <c r="S95" i="3" s="1"/>
  <c r="U95" i="3" s="1"/>
  <c r="W95" i="3" s="1"/>
  <c r="Y95" i="3" s="1"/>
  <c r="AA95" i="3" s="1"/>
  <c r="Q23" i="4"/>
  <c r="S23" i="4" s="1"/>
  <c r="K23" i="3" s="1"/>
  <c r="M23" i="3" s="1"/>
  <c r="S23" i="3" s="1"/>
  <c r="U23" i="3" s="1"/>
  <c r="W23" i="3" s="1"/>
  <c r="Y23" i="3" s="1"/>
  <c r="AA23" i="3" s="1"/>
  <c r="Q115" i="4"/>
  <c r="S115" i="4" s="1"/>
  <c r="K115" i="3" s="1"/>
  <c r="M115" i="3" s="1"/>
  <c r="S115" i="3" s="1"/>
  <c r="U115" i="3" s="1"/>
  <c r="W115" i="3" s="1"/>
  <c r="Y115" i="3" s="1"/>
  <c r="AA115" i="3" s="1"/>
  <c r="Q73" i="4"/>
  <c r="S73" i="4" s="1"/>
  <c r="J73" i="3" s="1"/>
  <c r="L73" i="3" s="1"/>
  <c r="R73" i="3" s="1"/>
  <c r="T73" i="3" s="1"/>
  <c r="V73" i="3" s="1"/>
  <c r="X73" i="3" s="1"/>
  <c r="Z73" i="3" s="1"/>
  <c r="Q127" i="4"/>
  <c r="S127" i="4" s="1"/>
  <c r="J127" i="3" s="1"/>
  <c r="L127" i="3" s="1"/>
  <c r="R127" i="3" s="1"/>
  <c r="T127" i="3" s="1"/>
  <c r="V127" i="3" s="1"/>
  <c r="X127" i="3" s="1"/>
  <c r="Z127" i="3" s="1"/>
  <c r="Q166" i="4"/>
  <c r="S166" i="4" s="1"/>
  <c r="K166" i="3" s="1"/>
  <c r="M166" i="3" s="1"/>
  <c r="S166" i="3" s="1"/>
  <c r="U166" i="3" s="1"/>
  <c r="W166" i="3" s="1"/>
  <c r="Y166" i="3" s="1"/>
  <c r="AA166" i="3" s="1"/>
  <c r="Q102" i="4"/>
  <c r="S102" i="4" s="1"/>
  <c r="J102" i="3" s="1"/>
  <c r="L102" i="3" s="1"/>
  <c r="R102" i="3" s="1"/>
  <c r="T102" i="3" s="1"/>
  <c r="V102" i="3" s="1"/>
  <c r="X102" i="3" s="1"/>
  <c r="Z102" i="3" s="1"/>
  <c r="Q38" i="4"/>
  <c r="S38" i="4" s="1"/>
  <c r="J38" i="3" s="1"/>
  <c r="L38" i="3" s="1"/>
  <c r="R38" i="3" s="1"/>
  <c r="T38" i="3" s="1"/>
  <c r="V38" i="3" s="1"/>
  <c r="X38" i="3" s="1"/>
  <c r="Z38" i="3" s="1"/>
  <c r="Q131" i="4"/>
  <c r="S131" i="4" s="1"/>
  <c r="K131" i="3" s="1"/>
  <c r="M131" i="3" s="1"/>
  <c r="S131" i="3" s="1"/>
  <c r="U131" i="3" s="1"/>
  <c r="W131" i="3" s="1"/>
  <c r="Y131" i="3" s="1"/>
  <c r="AA131" i="3" s="1"/>
  <c r="Q89" i="4"/>
  <c r="S89" i="4" s="1"/>
  <c r="J89" i="3" s="1"/>
  <c r="L89" i="3" s="1"/>
  <c r="R89" i="3" s="1"/>
  <c r="T89" i="3" s="1"/>
  <c r="V89" i="3" s="1"/>
  <c r="X89" i="3" s="1"/>
  <c r="Z89" i="3" s="1"/>
  <c r="Q189" i="4"/>
  <c r="S189" i="4" s="1"/>
  <c r="J189" i="3" s="1"/>
  <c r="L189" i="3" s="1"/>
  <c r="R189" i="3" s="1"/>
  <c r="T189" i="3" s="1"/>
  <c r="V189" i="3" s="1"/>
  <c r="X189" i="3" s="1"/>
  <c r="Z189" i="3" s="1"/>
  <c r="Q125" i="4"/>
  <c r="S125" i="4" s="1"/>
  <c r="K125" i="3" s="1"/>
  <c r="M125" i="3" s="1"/>
  <c r="S125" i="3" s="1"/>
  <c r="U125" i="3" s="1"/>
  <c r="W125" i="3" s="1"/>
  <c r="Y125" i="3" s="1"/>
  <c r="AA125" i="3" s="1"/>
  <c r="Q61" i="4"/>
  <c r="S61" i="4" s="1"/>
  <c r="J61" i="3" s="1"/>
  <c r="L61" i="3" s="1"/>
  <c r="R61" i="3" s="1"/>
  <c r="T61" i="3" s="1"/>
  <c r="V61" i="3" s="1"/>
  <c r="X61" i="3" s="1"/>
  <c r="Z61" i="3" s="1"/>
  <c r="Q172" i="4"/>
  <c r="S172" i="4" s="1"/>
  <c r="K172" i="3" s="1"/>
  <c r="M172" i="3" s="1"/>
  <c r="S172" i="3" s="1"/>
  <c r="U172" i="3" s="1"/>
  <c r="W172" i="3" s="1"/>
  <c r="Y172" i="3" s="1"/>
  <c r="AA172" i="3" s="1"/>
  <c r="Q76" i="4"/>
  <c r="S76" i="4" s="1"/>
  <c r="J76" i="3" s="1"/>
  <c r="L76" i="3" s="1"/>
  <c r="R76" i="3" s="1"/>
  <c r="T76" i="3" s="1"/>
  <c r="V76" i="3" s="1"/>
  <c r="X76" i="3" s="1"/>
  <c r="Z76" i="3" s="1"/>
  <c r="Q12" i="4"/>
  <c r="S12" i="4" s="1"/>
  <c r="J12" i="3" s="1"/>
  <c r="L12" i="3" s="1"/>
  <c r="R12" i="3" s="1"/>
  <c r="T12" i="3" s="1"/>
  <c r="V12" i="3" s="1"/>
  <c r="X12" i="3" s="1"/>
  <c r="Z12" i="3" s="1"/>
  <c r="Q146" i="4"/>
  <c r="S146" i="4" s="1"/>
  <c r="K146" i="3" s="1"/>
  <c r="M146" i="3" s="1"/>
  <c r="S146" i="3" s="1"/>
  <c r="U146" i="3" s="1"/>
  <c r="W146" i="3" s="1"/>
  <c r="Y146" i="3" s="1"/>
  <c r="AA146" i="3" s="1"/>
  <c r="Q82" i="4"/>
  <c r="S82" i="4" s="1"/>
  <c r="J82" i="3" s="1"/>
  <c r="L82" i="3" s="1"/>
  <c r="R82" i="3" s="1"/>
  <c r="T82" i="3" s="1"/>
  <c r="V82" i="3" s="1"/>
  <c r="X82" i="3" s="1"/>
  <c r="Z82" i="3" s="1"/>
  <c r="Q18" i="4"/>
  <c r="S18" i="4" s="1"/>
  <c r="K18" i="3" s="1"/>
  <c r="M18" i="3" s="1"/>
  <c r="S18" i="3" s="1"/>
  <c r="U18" i="3" s="1"/>
  <c r="W18" i="3" s="1"/>
  <c r="Y18" i="3" s="1"/>
  <c r="AA18" i="3" s="1"/>
  <c r="Q178" i="4"/>
  <c r="S178" i="4" s="1"/>
  <c r="J178" i="3" s="1"/>
  <c r="L178" i="3" s="1"/>
  <c r="R178" i="3" s="1"/>
  <c r="T178" i="3" s="1"/>
  <c r="V178" i="3" s="1"/>
  <c r="X178" i="3" s="1"/>
  <c r="Z178" i="3" s="1"/>
  <c r="Q175" i="4"/>
  <c r="S175" i="4" s="1"/>
  <c r="J175" i="3" s="1"/>
  <c r="L175" i="3" s="1"/>
  <c r="R175" i="3" s="1"/>
  <c r="T175" i="3" s="1"/>
  <c r="V175" i="3" s="1"/>
  <c r="X175" i="3" s="1"/>
  <c r="Z175" i="3" s="1"/>
  <c r="Q36" i="4"/>
  <c r="S36" i="4" s="1"/>
  <c r="J36" i="3" s="1"/>
  <c r="L36" i="3" s="1"/>
  <c r="R36" i="3" s="1"/>
  <c r="T36" i="3" s="1"/>
  <c r="V36" i="3" s="1"/>
  <c r="X36" i="3" s="1"/>
  <c r="Z36" i="3" s="1"/>
  <c r="Q33" i="4"/>
  <c r="S33" i="4" s="1"/>
  <c r="K33" i="3" s="1"/>
  <c r="M33" i="3" s="1"/>
  <c r="S33" i="3" s="1"/>
  <c r="U33" i="3" s="1"/>
  <c r="W33" i="3" s="1"/>
  <c r="Y33" i="3" s="1"/>
  <c r="AA33" i="3" s="1"/>
  <c r="Q40" i="4"/>
  <c r="S40" i="4" s="1"/>
  <c r="J40" i="3" s="1"/>
  <c r="L40" i="3" s="1"/>
  <c r="R40" i="3" s="1"/>
  <c r="T40" i="3" s="1"/>
  <c r="V40" i="3" s="1"/>
  <c r="X40" i="3" s="1"/>
  <c r="Z40" i="3" s="1"/>
  <c r="Q65" i="4"/>
  <c r="S65" i="4" s="1"/>
  <c r="K65" i="3" s="1"/>
  <c r="M65" i="3" s="1"/>
  <c r="S65" i="3" s="1"/>
  <c r="U65" i="3" s="1"/>
  <c r="W65" i="3" s="1"/>
  <c r="Y65" i="3" s="1"/>
  <c r="AA65" i="3" s="1"/>
  <c r="Q83" i="4"/>
  <c r="S83" i="4" s="1"/>
  <c r="Q111" i="4"/>
  <c r="S111" i="4" s="1"/>
  <c r="K111" i="3" s="1"/>
  <c r="M111" i="3" s="1"/>
  <c r="S111" i="3" s="1"/>
  <c r="U111" i="3" s="1"/>
  <c r="W111" i="3" s="1"/>
  <c r="Y111" i="3" s="1"/>
  <c r="AA111" i="3" s="1"/>
  <c r="Q30" i="4"/>
  <c r="S30" i="4" s="1"/>
  <c r="J30" i="3" s="1"/>
  <c r="L30" i="3" s="1"/>
  <c r="R30" i="3" s="1"/>
  <c r="T30" i="3" s="1"/>
  <c r="V30" i="3" s="1"/>
  <c r="X30" i="3" s="1"/>
  <c r="Z30" i="3" s="1"/>
  <c r="Q181" i="4"/>
  <c r="S181" i="4" s="1"/>
  <c r="K181" i="3" s="1"/>
  <c r="M181" i="3" s="1"/>
  <c r="S181" i="3" s="1"/>
  <c r="U181" i="3" s="1"/>
  <c r="W181" i="3" s="1"/>
  <c r="Y181" i="3" s="1"/>
  <c r="AA181" i="3" s="1"/>
  <c r="Q74" i="4"/>
  <c r="S74" i="4" s="1"/>
  <c r="K74" i="3" s="1"/>
  <c r="M74" i="3" s="1"/>
  <c r="S74" i="3" s="1"/>
  <c r="U74" i="3" s="1"/>
  <c r="W74" i="3" s="1"/>
  <c r="Y74" i="3" s="1"/>
  <c r="AA74" i="3" s="1"/>
  <c r="Q193" i="4"/>
  <c r="S193" i="4" s="1"/>
  <c r="J193" i="3" s="1"/>
  <c r="L193" i="3" s="1"/>
  <c r="R193" i="3" s="1"/>
  <c r="T193" i="3" s="1"/>
  <c r="V193" i="3" s="1"/>
  <c r="X193" i="3" s="1"/>
  <c r="Z193" i="3" s="1"/>
  <c r="Q192" i="4"/>
  <c r="S192" i="4" s="1"/>
  <c r="K192" i="3" s="1"/>
  <c r="M192" i="3" s="1"/>
  <c r="S192" i="3" s="1"/>
  <c r="U192" i="3" s="1"/>
  <c r="W192" i="3" s="1"/>
  <c r="Y192" i="3" s="1"/>
  <c r="AA192" i="3" s="1"/>
  <c r="Q96" i="4"/>
  <c r="S96" i="4" s="1"/>
  <c r="J96" i="3" s="1"/>
  <c r="L96" i="3" s="1"/>
  <c r="R96" i="3" s="1"/>
  <c r="T96" i="3" s="1"/>
  <c r="V96" i="3" s="1"/>
  <c r="X96" i="3" s="1"/>
  <c r="Z96" i="3" s="1"/>
  <c r="Q32" i="4"/>
  <c r="S32" i="4" s="1"/>
  <c r="K32" i="3" s="1"/>
  <c r="M32" i="3" s="1"/>
  <c r="S32" i="3" s="1"/>
  <c r="U32" i="3" s="1"/>
  <c r="W32" i="3" s="1"/>
  <c r="Y32" i="3" s="1"/>
  <c r="AA32" i="3" s="1"/>
  <c r="Q91" i="4"/>
  <c r="S91" i="4" s="1"/>
  <c r="K91" i="3" s="1"/>
  <c r="M91" i="3" s="1"/>
  <c r="S91" i="3" s="1"/>
  <c r="U91" i="3" s="1"/>
  <c r="W91" i="3" s="1"/>
  <c r="Y91" i="3" s="1"/>
  <c r="AA91" i="3" s="1"/>
  <c r="Q17" i="4"/>
  <c r="S17" i="4" s="1"/>
  <c r="K17" i="3" s="1"/>
  <c r="M17" i="3" s="1"/>
  <c r="S17" i="3" s="1"/>
  <c r="U17" i="3" s="1"/>
  <c r="W17" i="3" s="1"/>
  <c r="Y17" i="3" s="1"/>
  <c r="AA17" i="3" s="1"/>
  <c r="Q71" i="4"/>
  <c r="S71" i="4" s="1"/>
  <c r="J71" i="3" s="1"/>
  <c r="L71" i="3" s="1"/>
  <c r="R71" i="3" s="1"/>
  <c r="T71" i="3" s="1"/>
  <c r="V71" i="3" s="1"/>
  <c r="X71" i="3" s="1"/>
  <c r="Z71" i="3" s="1"/>
  <c r="Q7" i="4"/>
  <c r="S7" i="4" s="1"/>
  <c r="J7" i="3" s="1"/>
  <c r="L7" i="3" s="1"/>
  <c r="R7" i="3" s="1"/>
  <c r="T7" i="3" s="1"/>
  <c r="V7" i="3" s="1"/>
  <c r="X7" i="3" s="1"/>
  <c r="Z7" i="3" s="1"/>
  <c r="Q51" i="4"/>
  <c r="S51" i="4" s="1"/>
  <c r="J51" i="3" s="1"/>
  <c r="L51" i="3" s="1"/>
  <c r="R51" i="3" s="1"/>
  <c r="T51" i="3" s="1"/>
  <c r="V51" i="3" s="1"/>
  <c r="X51" i="3" s="1"/>
  <c r="Z51" i="3" s="1"/>
  <c r="Q200" i="4"/>
  <c r="S200" i="4" s="1"/>
  <c r="J200" i="3" s="1"/>
  <c r="L200" i="3" s="1"/>
  <c r="R200" i="3" s="1"/>
  <c r="T200" i="3" s="1"/>
  <c r="V200" i="3" s="1"/>
  <c r="X200" i="3" s="1"/>
  <c r="Z200" i="3" s="1"/>
  <c r="Q103" i="4"/>
  <c r="S103" i="4" s="1"/>
  <c r="K103" i="3" s="1"/>
  <c r="M103" i="3" s="1"/>
  <c r="S103" i="3" s="1"/>
  <c r="U103" i="3" s="1"/>
  <c r="W103" i="3" s="1"/>
  <c r="Y103" i="3" s="1"/>
  <c r="AA103" i="3" s="1"/>
  <c r="Q150" i="4"/>
  <c r="S150" i="4" s="1"/>
  <c r="J150" i="3" s="1"/>
  <c r="L150" i="3" s="1"/>
  <c r="R150" i="3" s="1"/>
  <c r="T150" i="3" s="1"/>
  <c r="V150" i="3" s="1"/>
  <c r="X150" i="3" s="1"/>
  <c r="Z150" i="3" s="1"/>
  <c r="Q86" i="4"/>
  <c r="S86" i="4" s="1"/>
  <c r="J86" i="3" s="1"/>
  <c r="L86" i="3" s="1"/>
  <c r="R86" i="3" s="1"/>
  <c r="T86" i="3" s="1"/>
  <c r="V86" i="3" s="1"/>
  <c r="X86" i="3" s="1"/>
  <c r="Z86" i="3" s="1"/>
  <c r="Q22" i="4"/>
  <c r="S22" i="4" s="1"/>
  <c r="K22" i="3" s="1"/>
  <c r="M22" i="3" s="1"/>
  <c r="S22" i="3" s="1"/>
  <c r="U22" i="3" s="1"/>
  <c r="W22" i="3" s="1"/>
  <c r="Y22" i="3" s="1"/>
  <c r="AA22" i="3" s="1"/>
  <c r="Q75" i="4"/>
  <c r="S75" i="4" s="1"/>
  <c r="K75" i="3" s="1"/>
  <c r="M75" i="3" s="1"/>
  <c r="S75" i="3" s="1"/>
  <c r="U75" i="3" s="1"/>
  <c r="W75" i="3" s="1"/>
  <c r="Y75" i="3" s="1"/>
  <c r="AA75" i="3" s="1"/>
  <c r="Q9" i="4"/>
  <c r="S9" i="4" s="1"/>
  <c r="K9" i="3" s="1"/>
  <c r="M9" i="3" s="1"/>
  <c r="S9" i="3" s="1"/>
  <c r="U9" i="3" s="1"/>
  <c r="W9" i="3" s="1"/>
  <c r="Y9" i="3" s="1"/>
  <c r="AA9" i="3" s="1"/>
  <c r="Q173" i="4"/>
  <c r="S173" i="4" s="1"/>
  <c r="K173" i="3" s="1"/>
  <c r="M173" i="3" s="1"/>
  <c r="S173" i="3" s="1"/>
  <c r="U173" i="3" s="1"/>
  <c r="W173" i="3" s="1"/>
  <c r="Y173" i="3" s="1"/>
  <c r="AA173" i="3" s="1"/>
  <c r="Q109" i="4"/>
  <c r="S109" i="4" s="1"/>
  <c r="J109" i="3" s="1"/>
  <c r="L109" i="3" s="1"/>
  <c r="R109" i="3" s="1"/>
  <c r="T109" i="3" s="1"/>
  <c r="V109" i="3" s="1"/>
  <c r="X109" i="3" s="1"/>
  <c r="Z109" i="3" s="1"/>
  <c r="Q45" i="4"/>
  <c r="S45" i="4" s="1"/>
  <c r="J45" i="3" s="1"/>
  <c r="L45" i="3" s="1"/>
  <c r="R45" i="3" s="1"/>
  <c r="T45" i="3" s="1"/>
  <c r="V45" i="3" s="1"/>
  <c r="X45" i="3" s="1"/>
  <c r="Z45" i="3" s="1"/>
  <c r="Q124" i="4"/>
  <c r="S124" i="4" s="1"/>
  <c r="K124" i="3" s="1"/>
  <c r="M124" i="3" s="1"/>
  <c r="S124" i="3" s="1"/>
  <c r="U124" i="3" s="1"/>
  <c r="W124" i="3" s="1"/>
  <c r="Y124" i="3" s="1"/>
  <c r="AA124" i="3" s="1"/>
  <c r="Q60" i="4"/>
  <c r="S60" i="4" s="1"/>
  <c r="J60" i="3" s="1"/>
  <c r="L60" i="3" s="1"/>
  <c r="R60" i="3" s="1"/>
  <c r="T60" i="3" s="1"/>
  <c r="V60" i="3" s="1"/>
  <c r="X60" i="3" s="1"/>
  <c r="Z60" i="3" s="1"/>
  <c r="Q194" i="4"/>
  <c r="S194" i="4" s="1"/>
  <c r="J194" i="3" s="1"/>
  <c r="L194" i="3" s="1"/>
  <c r="R194" i="3" s="1"/>
  <c r="T194" i="3" s="1"/>
  <c r="V194" i="3" s="1"/>
  <c r="X194" i="3" s="1"/>
  <c r="Z194" i="3" s="1"/>
  <c r="Q130" i="4"/>
  <c r="S130" i="4" s="1"/>
  <c r="K130" i="3" s="1"/>
  <c r="M130" i="3" s="1"/>
  <c r="S130" i="3" s="1"/>
  <c r="U130" i="3" s="1"/>
  <c r="W130" i="3" s="1"/>
  <c r="Y130" i="3" s="1"/>
  <c r="AA130" i="3" s="1"/>
  <c r="Q66" i="4"/>
  <c r="S66" i="4" s="1"/>
  <c r="J66" i="3" s="1"/>
  <c r="L66" i="3" s="1"/>
  <c r="R66" i="3" s="1"/>
  <c r="T66" i="3" s="1"/>
  <c r="V66" i="3" s="1"/>
  <c r="X66" i="3" s="1"/>
  <c r="Z66" i="3" s="1"/>
  <c r="Q2" i="4"/>
  <c r="S2" i="4" s="1"/>
  <c r="K2" i="3" s="1"/>
  <c r="M2" i="3" s="1"/>
  <c r="S2" i="3" s="1"/>
  <c r="U2" i="3" s="1"/>
  <c r="W2" i="3" s="1"/>
  <c r="Y2" i="3" s="1"/>
  <c r="Q29" i="4"/>
  <c r="S29" i="4" s="1"/>
  <c r="K29" i="3" s="1"/>
  <c r="M29" i="3" s="1"/>
  <c r="S29" i="3" s="1"/>
  <c r="U29" i="3" s="1"/>
  <c r="W29" i="3" s="1"/>
  <c r="Y29" i="3" s="1"/>
  <c r="AA29" i="3" s="1"/>
  <c r="Q44" i="4"/>
  <c r="S44" i="4" s="1"/>
  <c r="K44" i="3" s="1"/>
  <c r="M44" i="3" s="1"/>
  <c r="S44" i="3" s="1"/>
  <c r="U44" i="3" s="1"/>
  <c r="W44" i="3" s="1"/>
  <c r="Y44" i="3" s="1"/>
  <c r="AA44" i="3" s="1"/>
  <c r="Q114" i="4"/>
  <c r="S114" i="4" s="1"/>
  <c r="K114" i="3" s="1"/>
  <c r="M114" i="3" s="1"/>
  <c r="S114" i="3" s="1"/>
  <c r="U114" i="3" s="1"/>
  <c r="W114" i="3" s="1"/>
  <c r="Y114" i="3" s="1"/>
  <c r="AA114" i="3" s="1"/>
  <c r="Q72" i="4"/>
  <c r="S72" i="4" s="1"/>
  <c r="K72" i="3" s="1"/>
  <c r="M72" i="3" s="1"/>
  <c r="S72" i="3" s="1"/>
  <c r="U72" i="3" s="1"/>
  <c r="W72" i="3" s="1"/>
  <c r="Y72" i="3" s="1"/>
  <c r="AA72" i="3" s="1"/>
  <c r="Q47" i="4"/>
  <c r="S47" i="4" s="1"/>
  <c r="K47" i="3" s="1"/>
  <c r="M47" i="3" s="1"/>
  <c r="S47" i="3" s="1"/>
  <c r="U47" i="3" s="1"/>
  <c r="W47" i="3" s="1"/>
  <c r="Y47" i="3" s="1"/>
  <c r="AA47" i="3" s="1"/>
  <c r="Q190" i="4"/>
  <c r="S190" i="4" s="1"/>
  <c r="K190" i="3" s="1"/>
  <c r="M190" i="3" s="1"/>
  <c r="S190" i="3" s="1"/>
  <c r="U190" i="3" s="1"/>
  <c r="W190" i="3" s="1"/>
  <c r="Y190" i="3" s="1"/>
  <c r="AA190" i="3" s="1"/>
  <c r="Q185" i="4"/>
  <c r="S185" i="4" s="1"/>
  <c r="K185" i="3" s="1"/>
  <c r="M185" i="3" s="1"/>
  <c r="S185" i="3" s="1"/>
  <c r="U185" i="3" s="1"/>
  <c r="W185" i="3" s="1"/>
  <c r="Y185" i="3" s="1"/>
  <c r="AA185" i="3" s="1"/>
  <c r="Q85" i="4"/>
  <c r="S85" i="4" s="1"/>
  <c r="K85" i="3" s="1"/>
  <c r="M85" i="3" s="1"/>
  <c r="S85" i="3" s="1"/>
  <c r="U85" i="3" s="1"/>
  <c r="W85" i="3" s="1"/>
  <c r="Y85" i="3" s="1"/>
  <c r="AA85" i="3" s="1"/>
  <c r="Q170" i="4"/>
  <c r="S170" i="4" s="1"/>
  <c r="J170" i="3" s="1"/>
  <c r="L170" i="3" s="1"/>
  <c r="R170" i="3" s="1"/>
  <c r="T170" i="3" s="1"/>
  <c r="V170" i="3" s="1"/>
  <c r="X170" i="3" s="1"/>
  <c r="Z170" i="3" s="1"/>
  <c r="Q3" i="4"/>
  <c r="S3" i="4" s="1"/>
  <c r="J3" i="3" s="1"/>
  <c r="L3" i="3" s="1"/>
  <c r="R3" i="3" s="1"/>
  <c r="T3" i="3" s="1"/>
  <c r="V3" i="3" s="1"/>
  <c r="X3" i="3" s="1"/>
  <c r="Z3" i="3" s="1"/>
  <c r="Q104" i="4"/>
  <c r="S104" i="4" s="1"/>
  <c r="J104" i="3" s="1"/>
  <c r="L104" i="3" s="1"/>
  <c r="R104" i="3" s="1"/>
  <c r="T104" i="3" s="1"/>
  <c r="V104" i="3" s="1"/>
  <c r="X104" i="3" s="1"/>
  <c r="Z104" i="3" s="1"/>
  <c r="Q123" i="4"/>
  <c r="S123" i="4" s="1"/>
  <c r="J123" i="3" s="1"/>
  <c r="L123" i="3" s="1"/>
  <c r="R123" i="3" s="1"/>
  <c r="T123" i="3" s="1"/>
  <c r="V123" i="3" s="1"/>
  <c r="X123" i="3" s="1"/>
  <c r="Z123" i="3" s="1"/>
  <c r="Q87" i="4"/>
  <c r="S87" i="4" s="1"/>
  <c r="J87" i="3" s="1"/>
  <c r="L87" i="3" s="1"/>
  <c r="R87" i="3" s="1"/>
  <c r="T87" i="3" s="1"/>
  <c r="V87" i="3" s="1"/>
  <c r="X87" i="3" s="1"/>
  <c r="Z87" i="3" s="1"/>
  <c r="Q15" i="4"/>
  <c r="S15" i="4" s="1"/>
  <c r="K15" i="3" s="1"/>
  <c r="M15" i="3" s="1"/>
  <c r="S15" i="3" s="1"/>
  <c r="U15" i="3" s="1"/>
  <c r="W15" i="3" s="1"/>
  <c r="Y15" i="3" s="1"/>
  <c r="AA15" i="3" s="1"/>
  <c r="Q25" i="4"/>
  <c r="S25" i="4" s="1"/>
  <c r="K25" i="3" s="1"/>
  <c r="M25" i="3" s="1"/>
  <c r="S25" i="3" s="1"/>
  <c r="U25" i="3" s="1"/>
  <c r="W25" i="3" s="1"/>
  <c r="Y25" i="3" s="1"/>
  <c r="AA25" i="3" s="1"/>
  <c r="Q158" i="4"/>
  <c r="S158" i="4" s="1"/>
  <c r="J158" i="3" s="1"/>
  <c r="L158" i="3" s="1"/>
  <c r="R158" i="3" s="1"/>
  <c r="T158" i="3" s="1"/>
  <c r="V158" i="3" s="1"/>
  <c r="X158" i="3" s="1"/>
  <c r="Z158" i="3" s="1"/>
  <c r="Q94" i="4"/>
  <c r="S94" i="4" s="1"/>
  <c r="J94" i="3" s="1"/>
  <c r="L94" i="3" s="1"/>
  <c r="R94" i="3" s="1"/>
  <c r="T94" i="3" s="1"/>
  <c r="V94" i="3" s="1"/>
  <c r="X94" i="3" s="1"/>
  <c r="Z94" i="3" s="1"/>
  <c r="Q107" i="4"/>
  <c r="S107" i="4" s="1"/>
  <c r="J107" i="3" s="1"/>
  <c r="L107" i="3" s="1"/>
  <c r="R107" i="3" s="1"/>
  <c r="T107" i="3" s="1"/>
  <c r="V107" i="3" s="1"/>
  <c r="X107" i="3" s="1"/>
  <c r="Z107" i="3" s="1"/>
  <c r="Q57" i="4"/>
  <c r="S57" i="4" s="1"/>
  <c r="K57" i="3" s="1"/>
  <c r="M57" i="3" s="1"/>
  <c r="S57" i="3" s="1"/>
  <c r="U57" i="3" s="1"/>
  <c r="W57" i="3" s="1"/>
  <c r="Y57" i="3" s="1"/>
  <c r="AA57" i="3" s="1"/>
  <c r="Q117" i="4"/>
  <c r="S117" i="4" s="1"/>
  <c r="K117" i="3" s="1"/>
  <c r="M117" i="3" s="1"/>
  <c r="S117" i="3" s="1"/>
  <c r="U117" i="3" s="1"/>
  <c r="W117" i="3" s="1"/>
  <c r="Y117" i="3" s="1"/>
  <c r="AA117" i="3" s="1"/>
  <c r="Q53" i="4"/>
  <c r="S53" i="4" s="1"/>
  <c r="J53" i="3" s="1"/>
  <c r="L53" i="3" s="1"/>
  <c r="R53" i="3" s="1"/>
  <c r="T53" i="3" s="1"/>
  <c r="V53" i="3" s="1"/>
  <c r="X53" i="3" s="1"/>
  <c r="Z53" i="3" s="1"/>
  <c r="Q140" i="4"/>
  <c r="S140" i="4" s="1"/>
  <c r="J140" i="3" s="1"/>
  <c r="L140" i="3" s="1"/>
  <c r="R140" i="3" s="1"/>
  <c r="T140" i="3" s="1"/>
  <c r="V140" i="3" s="1"/>
  <c r="X140" i="3" s="1"/>
  <c r="Z140" i="3" s="1"/>
  <c r="Q68" i="4"/>
  <c r="S68" i="4" s="1"/>
  <c r="K68" i="3" s="1"/>
  <c r="M68" i="3" s="1"/>
  <c r="S68" i="3" s="1"/>
  <c r="U68" i="3" s="1"/>
  <c r="W68" i="3" s="1"/>
  <c r="Y68" i="3" s="1"/>
  <c r="AA68" i="3" s="1"/>
  <c r="Q4" i="4"/>
  <c r="S4" i="4" s="1"/>
  <c r="K4" i="3" s="1"/>
  <c r="M4" i="3" s="1"/>
  <c r="S4" i="3" s="1"/>
  <c r="U4" i="3" s="1"/>
  <c r="W4" i="3" s="1"/>
  <c r="Y4" i="3" s="1"/>
  <c r="AA4" i="3" s="1"/>
  <c r="Q138" i="4"/>
  <c r="S138" i="4" s="1"/>
  <c r="J138" i="3" s="1"/>
  <c r="L138" i="3" s="1"/>
  <c r="R138" i="3" s="1"/>
  <c r="T138" i="3" s="1"/>
  <c r="V138" i="3" s="1"/>
  <c r="X138" i="3" s="1"/>
  <c r="Z138" i="3" s="1"/>
  <c r="Q10" i="4"/>
  <c r="S10" i="4" s="1"/>
  <c r="J10" i="3" s="1"/>
  <c r="L10" i="3" s="1"/>
  <c r="R10" i="3" s="1"/>
  <c r="T10" i="3" s="1"/>
  <c r="V10" i="3" s="1"/>
  <c r="X10" i="3" s="1"/>
  <c r="Z10" i="3" s="1"/>
  <c r="Q188" i="4"/>
  <c r="S188" i="4" s="1"/>
  <c r="J188" i="3" s="1"/>
  <c r="L188" i="3" s="1"/>
  <c r="R188" i="3" s="1"/>
  <c r="T188" i="3" s="1"/>
  <c r="V188" i="3" s="1"/>
  <c r="X188" i="3" s="1"/>
  <c r="Z188" i="3" s="1"/>
  <c r="Q161" i="4"/>
  <c r="S161" i="4" s="1"/>
  <c r="J161" i="3" s="1"/>
  <c r="L161" i="3" s="1"/>
  <c r="R161" i="3" s="1"/>
  <c r="T161" i="3" s="1"/>
  <c r="V161" i="3" s="1"/>
  <c r="X161" i="3" s="1"/>
  <c r="Z161" i="3" s="1"/>
  <c r="Q160" i="4"/>
  <c r="S160" i="4" s="1"/>
  <c r="K160" i="3" s="1"/>
  <c r="M160" i="3" s="1"/>
  <c r="S160" i="3" s="1"/>
  <c r="U160" i="3" s="1"/>
  <c r="W160" i="3" s="1"/>
  <c r="Y160" i="3" s="1"/>
  <c r="AA160" i="3" s="1"/>
  <c r="Q88" i="4"/>
  <c r="S88" i="4" s="1"/>
  <c r="J88" i="3" s="1"/>
  <c r="L88" i="3" s="1"/>
  <c r="R88" i="3" s="1"/>
  <c r="T88" i="3" s="1"/>
  <c r="V88" i="3" s="1"/>
  <c r="X88" i="3" s="1"/>
  <c r="Z88" i="3" s="1"/>
  <c r="Q24" i="4"/>
  <c r="S24" i="4" s="1"/>
  <c r="J24" i="3" s="1"/>
  <c r="L24" i="3" s="1"/>
  <c r="R24" i="3" s="1"/>
  <c r="T24" i="3" s="1"/>
  <c r="V24" i="3" s="1"/>
  <c r="X24" i="3" s="1"/>
  <c r="Z24" i="3" s="1"/>
  <c r="Q67" i="4"/>
  <c r="S67" i="4" s="1"/>
  <c r="J67" i="3" s="1"/>
  <c r="L67" i="3" s="1"/>
  <c r="R67" i="3" s="1"/>
  <c r="T67" i="3" s="1"/>
  <c r="V67" i="3" s="1"/>
  <c r="X67" i="3" s="1"/>
  <c r="Z67" i="3" s="1"/>
  <c r="Q184" i="4"/>
  <c r="S184" i="4" s="1"/>
  <c r="K184" i="3" s="1"/>
  <c r="M184" i="3" s="1"/>
  <c r="S184" i="3" s="1"/>
  <c r="U184" i="3" s="1"/>
  <c r="W184" i="3" s="1"/>
  <c r="Y184" i="3" s="1"/>
  <c r="AA184" i="3" s="1"/>
  <c r="Q63" i="4"/>
  <c r="S63" i="4" s="1"/>
  <c r="K63" i="3" s="1"/>
  <c r="M63" i="3" s="1"/>
  <c r="S63" i="3" s="1"/>
  <c r="U63" i="3" s="1"/>
  <c r="W63" i="3" s="1"/>
  <c r="Y63" i="3" s="1"/>
  <c r="AA63" i="3" s="1"/>
  <c r="Q196" i="4"/>
  <c r="S196" i="4" s="1"/>
  <c r="J196" i="3" s="1"/>
  <c r="L196" i="3" s="1"/>
  <c r="R196" i="3" s="1"/>
  <c r="T196" i="3" s="1"/>
  <c r="V196" i="3" s="1"/>
  <c r="X196" i="3" s="1"/>
  <c r="Z196" i="3" s="1"/>
  <c r="Q11" i="4"/>
  <c r="S11" i="4" s="1"/>
  <c r="K11" i="3" s="1"/>
  <c r="M11" i="3" s="1"/>
  <c r="S11" i="3" s="1"/>
  <c r="U11" i="3" s="1"/>
  <c r="W11" i="3" s="1"/>
  <c r="Y11" i="3" s="1"/>
  <c r="AA11" i="3" s="1"/>
  <c r="Q168" i="4"/>
  <c r="S168" i="4" s="1"/>
  <c r="K168" i="3" s="1"/>
  <c r="M168" i="3" s="1"/>
  <c r="S168" i="3" s="1"/>
  <c r="U168" i="3" s="1"/>
  <c r="W168" i="3" s="1"/>
  <c r="Y168" i="3" s="1"/>
  <c r="AA168" i="3" s="1"/>
  <c r="Q79" i="4"/>
  <c r="S79" i="4" s="1"/>
  <c r="J79" i="3" s="1"/>
  <c r="L79" i="3" s="1"/>
  <c r="R79" i="3" s="1"/>
  <c r="T79" i="3" s="1"/>
  <c r="V79" i="3" s="1"/>
  <c r="X79" i="3" s="1"/>
  <c r="Z79" i="3" s="1"/>
  <c r="Q142" i="4"/>
  <c r="S142" i="4" s="1"/>
  <c r="J142" i="3" s="1"/>
  <c r="L142" i="3" s="1"/>
  <c r="R142" i="3" s="1"/>
  <c r="T142" i="3" s="1"/>
  <c r="V142" i="3" s="1"/>
  <c r="X142" i="3" s="1"/>
  <c r="Z142" i="3" s="1"/>
  <c r="Q78" i="4"/>
  <c r="S78" i="4" s="1"/>
  <c r="K78" i="3" s="1"/>
  <c r="M78" i="3" s="1"/>
  <c r="S78" i="3" s="1"/>
  <c r="U78" i="3" s="1"/>
  <c r="W78" i="3" s="1"/>
  <c r="Y78" i="3" s="1"/>
  <c r="AA78" i="3" s="1"/>
  <c r="Q14" i="4"/>
  <c r="S14" i="4" s="1"/>
  <c r="J14" i="3" s="1"/>
  <c r="L14" i="3" s="1"/>
  <c r="R14" i="3" s="1"/>
  <c r="T14" i="3" s="1"/>
  <c r="V14" i="3" s="1"/>
  <c r="X14" i="3" s="1"/>
  <c r="Z14" i="3" s="1"/>
  <c r="Q35" i="4"/>
  <c r="S35" i="4" s="1"/>
  <c r="J35" i="3" s="1"/>
  <c r="L35" i="3" s="1"/>
  <c r="R35" i="3" s="1"/>
  <c r="T35" i="3" s="1"/>
  <c r="V35" i="3" s="1"/>
  <c r="X35" i="3" s="1"/>
  <c r="Z35" i="3" s="1"/>
  <c r="Q176" i="4"/>
  <c r="S176" i="4" s="1"/>
  <c r="J176" i="3" s="1"/>
  <c r="L176" i="3" s="1"/>
  <c r="R176" i="3" s="1"/>
  <c r="T176" i="3" s="1"/>
  <c r="V176" i="3" s="1"/>
  <c r="X176" i="3" s="1"/>
  <c r="Z176" i="3" s="1"/>
  <c r="Q165" i="4"/>
  <c r="S165" i="4" s="1"/>
  <c r="J165" i="3" s="1"/>
  <c r="L165" i="3" s="1"/>
  <c r="R165" i="3" s="1"/>
  <c r="T165" i="3" s="1"/>
  <c r="V165" i="3" s="1"/>
  <c r="X165" i="3" s="1"/>
  <c r="Z165" i="3" s="1"/>
  <c r="Q101" i="4"/>
  <c r="S101" i="4" s="1"/>
  <c r="K101" i="3" s="1"/>
  <c r="M101" i="3" s="1"/>
  <c r="S101" i="3" s="1"/>
  <c r="U101" i="3" s="1"/>
  <c r="W101" i="3" s="1"/>
  <c r="Y101" i="3" s="1"/>
  <c r="AA101" i="3" s="1"/>
  <c r="Q37" i="4"/>
  <c r="S37" i="4" s="1"/>
  <c r="K37" i="3" s="1"/>
  <c r="M37" i="3" s="1"/>
  <c r="S37" i="3" s="1"/>
  <c r="U37" i="3" s="1"/>
  <c r="W37" i="3" s="1"/>
  <c r="Y37" i="3" s="1"/>
  <c r="AA37" i="3" s="1"/>
  <c r="Q116" i="4"/>
  <c r="S116" i="4" s="1"/>
  <c r="J116" i="3" s="1"/>
  <c r="L116" i="3" s="1"/>
  <c r="R116" i="3" s="1"/>
  <c r="T116" i="3" s="1"/>
  <c r="V116" i="3" s="1"/>
  <c r="X116" i="3" s="1"/>
  <c r="Z116" i="3" s="1"/>
  <c r="Q52" i="4"/>
  <c r="S52" i="4" s="1"/>
  <c r="K52" i="3" s="1"/>
  <c r="M52" i="3" s="1"/>
  <c r="S52" i="3" s="1"/>
  <c r="U52" i="3" s="1"/>
  <c r="W52" i="3" s="1"/>
  <c r="Y52" i="3" s="1"/>
  <c r="AA52" i="3" s="1"/>
  <c r="Q186" i="4"/>
  <c r="S186" i="4" s="1"/>
  <c r="J186" i="3" s="1"/>
  <c r="L186" i="3" s="1"/>
  <c r="R186" i="3" s="1"/>
  <c r="T186" i="3" s="1"/>
  <c r="V186" i="3" s="1"/>
  <c r="X186" i="3" s="1"/>
  <c r="Z186" i="3" s="1"/>
  <c r="Q122" i="4"/>
  <c r="S122" i="4" s="1"/>
  <c r="J122" i="3" s="1"/>
  <c r="L122" i="3" s="1"/>
  <c r="R122" i="3" s="1"/>
  <c r="T122" i="3" s="1"/>
  <c r="V122" i="3" s="1"/>
  <c r="X122" i="3" s="1"/>
  <c r="Z122" i="3" s="1"/>
  <c r="Q58" i="4"/>
  <c r="S58" i="4" s="1"/>
  <c r="K58" i="3" s="1"/>
  <c r="M58" i="3" s="1"/>
  <c r="S58" i="3" s="1"/>
  <c r="U58" i="3" s="1"/>
  <c r="W58" i="3" s="1"/>
  <c r="Y58" i="3" s="1"/>
  <c r="AA58" i="3" s="1"/>
  <c r="J191" i="3" l="1"/>
  <c r="L191" i="3" s="1"/>
  <c r="R191" i="3" s="1"/>
  <c r="T191" i="3" s="1"/>
  <c r="V191" i="3" s="1"/>
  <c r="X191" i="3" s="1"/>
  <c r="Z191" i="3" s="1"/>
  <c r="K157" i="3"/>
  <c r="M157" i="3" s="1"/>
  <c r="S157" i="3" s="1"/>
  <c r="U157" i="3" s="1"/>
  <c r="W157" i="3" s="1"/>
  <c r="Y157" i="3" s="1"/>
  <c r="AA157" i="3" s="1"/>
  <c r="K199" i="3"/>
  <c r="M199" i="3" s="1"/>
  <c r="S199" i="3" s="1"/>
  <c r="U199" i="3" s="1"/>
  <c r="W199" i="3" s="1"/>
  <c r="Y199" i="3" s="1"/>
  <c r="AA199" i="3" s="1"/>
  <c r="J147" i="3"/>
  <c r="L147" i="3" s="1"/>
  <c r="R147" i="3" s="1"/>
  <c r="T147" i="3" s="1"/>
  <c r="V147" i="3" s="1"/>
  <c r="X147" i="3" s="1"/>
  <c r="Z147" i="3" s="1"/>
  <c r="K6" i="3"/>
  <c r="M6" i="3" s="1"/>
  <c r="S6" i="3" s="1"/>
  <c r="U6" i="3" s="1"/>
  <c r="W6" i="3" s="1"/>
  <c r="Y6" i="3" s="1"/>
  <c r="AA6" i="3" s="1"/>
  <c r="K71" i="3"/>
  <c r="M71" i="3" s="1"/>
  <c r="S71" i="3" s="1"/>
  <c r="U71" i="3" s="1"/>
  <c r="W71" i="3" s="1"/>
  <c r="Y71" i="3" s="1"/>
  <c r="AA71" i="3" s="1"/>
  <c r="K62" i="3"/>
  <c r="M62" i="3" s="1"/>
  <c r="S62" i="3" s="1"/>
  <c r="U62" i="3" s="1"/>
  <c r="W62" i="3" s="1"/>
  <c r="Y62" i="3" s="1"/>
  <c r="AA62" i="3" s="1"/>
  <c r="J180" i="3"/>
  <c r="L180" i="3" s="1"/>
  <c r="R180" i="3" s="1"/>
  <c r="T180" i="3" s="1"/>
  <c r="V180" i="3" s="1"/>
  <c r="X180" i="3" s="1"/>
  <c r="Z180" i="3" s="1"/>
  <c r="K39" i="3"/>
  <c r="M39" i="3" s="1"/>
  <c r="S39" i="3" s="1"/>
  <c r="U39" i="3" s="1"/>
  <c r="W39" i="3" s="1"/>
  <c r="Y39" i="3" s="1"/>
  <c r="AA39" i="3" s="1"/>
  <c r="K118" i="3"/>
  <c r="M118" i="3" s="1"/>
  <c r="S118" i="3" s="1"/>
  <c r="U118" i="3" s="1"/>
  <c r="W118" i="3" s="1"/>
  <c r="Y118" i="3" s="1"/>
  <c r="AA118" i="3" s="1"/>
  <c r="J154" i="3"/>
  <c r="L154" i="3" s="1"/>
  <c r="R154" i="3" s="1"/>
  <c r="T154" i="3" s="1"/>
  <c r="V154" i="3" s="1"/>
  <c r="X154" i="3" s="1"/>
  <c r="Z154" i="3" s="1"/>
  <c r="K42" i="3"/>
  <c r="M42" i="3" s="1"/>
  <c r="S42" i="3" s="1"/>
  <c r="U42" i="3" s="1"/>
  <c r="W42" i="3" s="1"/>
  <c r="Y42" i="3" s="1"/>
  <c r="AA42" i="3" s="1"/>
  <c r="J144" i="3"/>
  <c r="L144" i="3" s="1"/>
  <c r="R144" i="3" s="1"/>
  <c r="T144" i="3" s="1"/>
  <c r="V144" i="3" s="1"/>
  <c r="X144" i="3" s="1"/>
  <c r="Z144" i="3" s="1"/>
  <c r="K19" i="3"/>
  <c r="M19" i="3" s="1"/>
  <c r="S19" i="3" s="1"/>
  <c r="U19" i="3" s="1"/>
  <c r="W19" i="3" s="1"/>
  <c r="Y19" i="3" s="1"/>
  <c r="AA19" i="3" s="1"/>
  <c r="J50" i="3"/>
  <c r="L50" i="3" s="1"/>
  <c r="R50" i="3" s="1"/>
  <c r="T50" i="3" s="1"/>
  <c r="V50" i="3" s="1"/>
  <c r="X50" i="3" s="1"/>
  <c r="Z50" i="3" s="1"/>
  <c r="K7" i="3"/>
  <c r="M7" i="3" s="1"/>
  <c r="S7" i="3" s="1"/>
  <c r="U7" i="3" s="1"/>
  <c r="W7" i="3" s="1"/>
  <c r="Y7" i="3" s="1"/>
  <c r="AA7" i="3" s="1"/>
  <c r="K149" i="3"/>
  <c r="M149" i="3" s="1"/>
  <c r="S149" i="3" s="1"/>
  <c r="U149" i="3" s="1"/>
  <c r="W149" i="3" s="1"/>
  <c r="Y149" i="3" s="1"/>
  <c r="AA149" i="3" s="1"/>
  <c r="J185" i="3"/>
  <c r="L185" i="3" s="1"/>
  <c r="R185" i="3" s="1"/>
  <c r="T185" i="3" s="1"/>
  <c r="V185" i="3" s="1"/>
  <c r="X185" i="3" s="1"/>
  <c r="Z185" i="3" s="1"/>
  <c r="K61" i="3"/>
  <c r="M61" i="3" s="1"/>
  <c r="S61" i="3" s="1"/>
  <c r="U61" i="3" s="1"/>
  <c r="W61" i="3" s="1"/>
  <c r="Y61" i="3" s="1"/>
  <c r="AA61" i="3" s="1"/>
  <c r="K182" i="3"/>
  <c r="M182" i="3" s="1"/>
  <c r="S182" i="3" s="1"/>
  <c r="U182" i="3" s="1"/>
  <c r="W182" i="3" s="1"/>
  <c r="Y182" i="3" s="1"/>
  <c r="AA182" i="3" s="1"/>
  <c r="K197" i="3"/>
  <c r="M197" i="3" s="1"/>
  <c r="S197" i="3" s="1"/>
  <c r="U197" i="3" s="1"/>
  <c r="W197" i="3" s="1"/>
  <c r="Y197" i="3" s="1"/>
  <c r="AA197" i="3" s="1"/>
  <c r="J26" i="3"/>
  <c r="L26" i="3" s="1"/>
  <c r="R26" i="3" s="1"/>
  <c r="T26" i="3" s="1"/>
  <c r="V26" i="3" s="1"/>
  <c r="X26" i="3" s="1"/>
  <c r="Z26" i="3" s="1"/>
  <c r="K99" i="3"/>
  <c r="M99" i="3" s="1"/>
  <c r="S99" i="3" s="1"/>
  <c r="U99" i="3" s="1"/>
  <c r="W99" i="3" s="1"/>
  <c r="Y99" i="3" s="1"/>
  <c r="AA99" i="3" s="1"/>
  <c r="J159" i="3"/>
  <c r="L159" i="3" s="1"/>
  <c r="R159" i="3" s="1"/>
  <c r="T159" i="3" s="1"/>
  <c r="V159" i="3" s="1"/>
  <c r="X159" i="3" s="1"/>
  <c r="Z159" i="3" s="1"/>
  <c r="J43" i="3"/>
  <c r="L43" i="3" s="1"/>
  <c r="R43" i="3" s="1"/>
  <c r="T43" i="3" s="1"/>
  <c r="V43" i="3" s="1"/>
  <c r="X43" i="3" s="1"/>
  <c r="Z43" i="3" s="1"/>
  <c r="J4" i="3"/>
  <c r="L4" i="3" s="1"/>
  <c r="R4" i="3" s="1"/>
  <c r="T4" i="3" s="1"/>
  <c r="V4" i="3" s="1"/>
  <c r="X4" i="3" s="1"/>
  <c r="Z4" i="3" s="1"/>
  <c r="K76" i="3"/>
  <c r="M76" i="3" s="1"/>
  <c r="S76" i="3" s="1"/>
  <c r="U76" i="3" s="1"/>
  <c r="W76" i="3" s="1"/>
  <c r="Y76" i="3" s="1"/>
  <c r="AA76" i="3" s="1"/>
  <c r="J139" i="3"/>
  <c r="L139" i="3" s="1"/>
  <c r="R139" i="3" s="1"/>
  <c r="T139" i="3" s="1"/>
  <c r="V139" i="3" s="1"/>
  <c r="X139" i="3" s="1"/>
  <c r="Z139" i="3" s="1"/>
  <c r="K145" i="3"/>
  <c r="M145" i="3" s="1"/>
  <c r="S145" i="3" s="1"/>
  <c r="U145" i="3" s="1"/>
  <c r="W145" i="3" s="1"/>
  <c r="Y145" i="3" s="1"/>
  <c r="AA145" i="3" s="1"/>
  <c r="J172" i="3"/>
  <c r="L172" i="3" s="1"/>
  <c r="R172" i="3" s="1"/>
  <c r="T172" i="3" s="1"/>
  <c r="V172" i="3" s="1"/>
  <c r="X172" i="3" s="1"/>
  <c r="Z172" i="3" s="1"/>
  <c r="K55" i="3"/>
  <c r="M55" i="3" s="1"/>
  <c r="S55" i="3" s="1"/>
  <c r="U55" i="3" s="1"/>
  <c r="W55" i="3" s="1"/>
  <c r="Y55" i="3" s="1"/>
  <c r="AA55" i="3" s="1"/>
  <c r="K175" i="3"/>
  <c r="M175" i="3" s="1"/>
  <c r="S175" i="3" s="1"/>
  <c r="U175" i="3" s="1"/>
  <c r="W175" i="3" s="1"/>
  <c r="Y175" i="3" s="1"/>
  <c r="AA175" i="3" s="1"/>
  <c r="J148" i="3"/>
  <c r="L148" i="3" s="1"/>
  <c r="R148" i="3" s="1"/>
  <c r="T148" i="3" s="1"/>
  <c r="V148" i="3" s="1"/>
  <c r="X148" i="3" s="1"/>
  <c r="Z148" i="3" s="1"/>
  <c r="K36" i="3"/>
  <c r="M36" i="3" s="1"/>
  <c r="S36" i="3" s="1"/>
  <c r="U36" i="3" s="1"/>
  <c r="W36" i="3" s="1"/>
  <c r="Y36" i="3" s="1"/>
  <c r="AA36" i="3" s="1"/>
  <c r="J166" i="3"/>
  <c r="L166" i="3" s="1"/>
  <c r="R166" i="3" s="1"/>
  <c r="T166" i="3" s="1"/>
  <c r="V166" i="3" s="1"/>
  <c r="X166" i="3" s="1"/>
  <c r="Z166" i="3" s="1"/>
  <c r="K10" i="3"/>
  <c r="M10" i="3" s="1"/>
  <c r="S10" i="3" s="1"/>
  <c r="U10" i="3" s="1"/>
  <c r="W10" i="3" s="1"/>
  <c r="Y10" i="3" s="1"/>
  <c r="AA10" i="3" s="1"/>
  <c r="J90" i="3"/>
  <c r="L90" i="3" s="1"/>
  <c r="R90" i="3" s="1"/>
  <c r="T90" i="3" s="1"/>
  <c r="V90" i="3" s="1"/>
  <c r="X90" i="3" s="1"/>
  <c r="Z90" i="3" s="1"/>
  <c r="J48" i="3"/>
  <c r="L48" i="3" s="1"/>
  <c r="R48" i="3" s="1"/>
  <c r="T48" i="3" s="1"/>
  <c r="V48" i="3" s="1"/>
  <c r="X48" i="3" s="1"/>
  <c r="Z48" i="3" s="1"/>
  <c r="J74" i="3"/>
  <c r="L74" i="3" s="1"/>
  <c r="R74" i="3" s="1"/>
  <c r="T74" i="3" s="1"/>
  <c r="V74" i="3" s="1"/>
  <c r="X74" i="3" s="1"/>
  <c r="Z74" i="3" s="1"/>
  <c r="J108" i="3"/>
  <c r="L108" i="3" s="1"/>
  <c r="R108" i="3" s="1"/>
  <c r="T108" i="3" s="1"/>
  <c r="V108" i="3" s="1"/>
  <c r="X108" i="3" s="1"/>
  <c r="Z108" i="3" s="1"/>
  <c r="J121" i="3"/>
  <c r="L121" i="3" s="1"/>
  <c r="R121" i="3" s="1"/>
  <c r="T121" i="3" s="1"/>
  <c r="V121" i="3" s="1"/>
  <c r="X121" i="3" s="1"/>
  <c r="Z121" i="3" s="1"/>
  <c r="K16" i="3"/>
  <c r="M16" i="3" s="1"/>
  <c r="S16" i="3" s="1"/>
  <c r="U16" i="3" s="1"/>
  <c r="W16" i="3" s="1"/>
  <c r="Y16" i="3" s="1"/>
  <c r="AA16" i="3" s="1"/>
  <c r="J31" i="3"/>
  <c r="L31" i="3" s="1"/>
  <c r="R31" i="3" s="1"/>
  <c r="T31" i="3" s="1"/>
  <c r="V31" i="3" s="1"/>
  <c r="X31" i="3" s="1"/>
  <c r="Z31" i="3" s="1"/>
  <c r="J98" i="3"/>
  <c r="L98" i="3" s="1"/>
  <c r="R98" i="3" s="1"/>
  <c r="T98" i="3" s="1"/>
  <c r="V98" i="3" s="1"/>
  <c r="X98" i="3" s="1"/>
  <c r="Z98" i="3" s="1"/>
  <c r="J34" i="3"/>
  <c r="L34" i="3" s="1"/>
  <c r="R34" i="3" s="1"/>
  <c r="T34" i="3" s="1"/>
  <c r="V34" i="3" s="1"/>
  <c r="X34" i="3" s="1"/>
  <c r="Z34" i="3" s="1"/>
  <c r="K88" i="3"/>
  <c r="M88" i="3" s="1"/>
  <c r="S88" i="3" s="1"/>
  <c r="U88" i="3" s="1"/>
  <c r="W88" i="3" s="1"/>
  <c r="Y88" i="3" s="1"/>
  <c r="AA88" i="3" s="1"/>
  <c r="K21" i="3"/>
  <c r="M21" i="3" s="1"/>
  <c r="S21" i="3" s="1"/>
  <c r="U21" i="3" s="1"/>
  <c r="W21" i="3" s="1"/>
  <c r="Y21" i="3" s="1"/>
  <c r="AA21" i="3" s="1"/>
  <c r="J68" i="3"/>
  <c r="L68" i="3" s="1"/>
  <c r="R68" i="3" s="1"/>
  <c r="T68" i="3" s="1"/>
  <c r="V68" i="3" s="1"/>
  <c r="X68" i="3" s="1"/>
  <c r="Z68" i="3" s="1"/>
  <c r="J130" i="3"/>
  <c r="L130" i="3" s="1"/>
  <c r="R130" i="3" s="1"/>
  <c r="T130" i="3" s="1"/>
  <c r="V130" i="3" s="1"/>
  <c r="X130" i="3" s="1"/>
  <c r="Z130" i="3" s="1"/>
  <c r="K127" i="3"/>
  <c r="M127" i="3" s="1"/>
  <c r="S127" i="3" s="1"/>
  <c r="U127" i="3" s="1"/>
  <c r="W127" i="3" s="1"/>
  <c r="Y127" i="3" s="1"/>
  <c r="AA127" i="3" s="1"/>
  <c r="K119" i="3"/>
  <c r="M119" i="3" s="1"/>
  <c r="S119" i="3" s="1"/>
  <c r="U119" i="3" s="1"/>
  <c r="W119" i="3" s="1"/>
  <c r="Y119" i="3" s="1"/>
  <c r="AA119" i="3" s="1"/>
  <c r="K93" i="3"/>
  <c r="M93" i="3" s="1"/>
  <c r="S93" i="3" s="1"/>
  <c r="U93" i="3" s="1"/>
  <c r="W93" i="3" s="1"/>
  <c r="Y93" i="3" s="1"/>
  <c r="AA93" i="3" s="1"/>
  <c r="J75" i="3"/>
  <c r="L75" i="3" s="1"/>
  <c r="R75" i="3" s="1"/>
  <c r="T75" i="3" s="1"/>
  <c r="V75" i="3" s="1"/>
  <c r="X75" i="3" s="1"/>
  <c r="Z75" i="3" s="1"/>
  <c r="K80" i="3"/>
  <c r="M80" i="3" s="1"/>
  <c r="S80" i="3" s="1"/>
  <c r="U80" i="3" s="1"/>
  <c r="W80" i="3" s="1"/>
  <c r="Y80" i="3" s="1"/>
  <c r="AA80" i="3" s="1"/>
  <c r="J179" i="3"/>
  <c r="L179" i="3" s="1"/>
  <c r="R179" i="3" s="1"/>
  <c r="T179" i="3" s="1"/>
  <c r="V179" i="3" s="1"/>
  <c r="X179" i="3" s="1"/>
  <c r="Z179" i="3" s="1"/>
  <c r="K140" i="3"/>
  <c r="M140" i="3" s="1"/>
  <c r="S140" i="3" s="1"/>
  <c r="U140" i="3" s="1"/>
  <c r="W140" i="3" s="1"/>
  <c r="Y140" i="3" s="1"/>
  <c r="AA140" i="3" s="1"/>
  <c r="J190" i="3"/>
  <c r="L190" i="3" s="1"/>
  <c r="R190" i="3" s="1"/>
  <c r="T190" i="3" s="1"/>
  <c r="V190" i="3" s="1"/>
  <c r="X190" i="3" s="1"/>
  <c r="Z190" i="3" s="1"/>
  <c r="K79" i="3"/>
  <c r="M79" i="3" s="1"/>
  <c r="S79" i="3" s="1"/>
  <c r="U79" i="3" s="1"/>
  <c r="W79" i="3" s="1"/>
  <c r="Y79" i="3" s="1"/>
  <c r="AA79" i="3" s="1"/>
  <c r="K100" i="3"/>
  <c r="M100" i="3" s="1"/>
  <c r="S100" i="3" s="1"/>
  <c r="U100" i="3" s="1"/>
  <c r="W100" i="3" s="1"/>
  <c r="Y100" i="3" s="1"/>
  <c r="AA100" i="3" s="1"/>
  <c r="J37" i="3"/>
  <c r="L37" i="3" s="1"/>
  <c r="R37" i="3" s="1"/>
  <c r="T37" i="3" s="1"/>
  <c r="V37" i="3" s="1"/>
  <c r="X37" i="3" s="1"/>
  <c r="Z37" i="3" s="1"/>
  <c r="J181" i="3"/>
  <c r="L181" i="3" s="1"/>
  <c r="R181" i="3" s="1"/>
  <c r="T181" i="3" s="1"/>
  <c r="V181" i="3" s="1"/>
  <c r="X181" i="3" s="1"/>
  <c r="Z181" i="3" s="1"/>
  <c r="J15" i="3"/>
  <c r="L15" i="3" s="1"/>
  <c r="R15" i="3" s="1"/>
  <c r="T15" i="3" s="1"/>
  <c r="V15" i="3" s="1"/>
  <c r="X15" i="3" s="1"/>
  <c r="Z15" i="3" s="1"/>
  <c r="J112" i="3"/>
  <c r="L112" i="3" s="1"/>
  <c r="R112" i="3" s="1"/>
  <c r="T112" i="3" s="1"/>
  <c r="V112" i="3" s="1"/>
  <c r="X112" i="3" s="1"/>
  <c r="Z112" i="3" s="1"/>
  <c r="K69" i="3"/>
  <c r="M69" i="3" s="1"/>
  <c r="S69" i="3" s="1"/>
  <c r="U69" i="3" s="1"/>
  <c r="W69" i="3" s="1"/>
  <c r="Y69" i="3" s="1"/>
  <c r="AA69" i="3" s="1"/>
  <c r="K201" i="3"/>
  <c r="M201" i="3" s="1"/>
  <c r="S201" i="3" s="1"/>
  <c r="U201" i="3" s="1"/>
  <c r="W201" i="3" s="1"/>
  <c r="Y201" i="3" s="1"/>
  <c r="AA201" i="3" s="1"/>
  <c r="K70" i="3"/>
  <c r="M70" i="3" s="1"/>
  <c r="S70" i="3" s="1"/>
  <c r="U70" i="3" s="1"/>
  <c r="W70" i="3" s="1"/>
  <c r="Y70" i="3" s="1"/>
  <c r="AA70" i="3" s="1"/>
  <c r="K24" i="3"/>
  <c r="M24" i="3" s="1"/>
  <c r="S24" i="3" s="1"/>
  <c r="U24" i="3" s="1"/>
  <c r="W24" i="3" s="1"/>
  <c r="Y24" i="3" s="1"/>
  <c r="AA24" i="3" s="1"/>
  <c r="J171" i="3"/>
  <c r="L171" i="3" s="1"/>
  <c r="R171" i="3" s="1"/>
  <c r="T171" i="3" s="1"/>
  <c r="V171" i="3" s="1"/>
  <c r="X171" i="3" s="1"/>
  <c r="Z171" i="3" s="1"/>
  <c r="J29" i="3"/>
  <c r="L29" i="3" s="1"/>
  <c r="R29" i="3" s="1"/>
  <c r="T29" i="3" s="1"/>
  <c r="V29" i="3" s="1"/>
  <c r="X29" i="3" s="1"/>
  <c r="Z29" i="3" s="1"/>
  <c r="K109" i="3"/>
  <c r="M109" i="3" s="1"/>
  <c r="S109" i="3" s="1"/>
  <c r="U109" i="3" s="1"/>
  <c r="W109" i="3" s="1"/>
  <c r="Y109" i="3" s="1"/>
  <c r="AA109" i="3" s="1"/>
  <c r="K152" i="3"/>
  <c r="M152" i="3" s="1"/>
  <c r="S152" i="3" s="1"/>
  <c r="U152" i="3" s="1"/>
  <c r="W152" i="3" s="1"/>
  <c r="Y152" i="3" s="1"/>
  <c r="AA152" i="3" s="1"/>
  <c r="J132" i="3"/>
  <c r="L132" i="3" s="1"/>
  <c r="R132" i="3" s="1"/>
  <c r="T132" i="3" s="1"/>
  <c r="V132" i="3" s="1"/>
  <c r="X132" i="3" s="1"/>
  <c r="Z132" i="3" s="1"/>
  <c r="K141" i="3"/>
  <c r="M141" i="3" s="1"/>
  <c r="S141" i="3" s="1"/>
  <c r="U141" i="3" s="1"/>
  <c r="W141" i="3" s="1"/>
  <c r="Y141" i="3" s="1"/>
  <c r="AA141" i="3" s="1"/>
  <c r="K128" i="3"/>
  <c r="M128" i="3" s="1"/>
  <c r="S128" i="3" s="1"/>
  <c r="U128" i="3" s="1"/>
  <c r="W128" i="3" s="1"/>
  <c r="Y128" i="3" s="1"/>
  <c r="AA128" i="3" s="1"/>
  <c r="K94" i="3"/>
  <c r="M94" i="3" s="1"/>
  <c r="S94" i="3" s="1"/>
  <c r="U94" i="3" s="1"/>
  <c r="W94" i="3" s="1"/>
  <c r="Y94" i="3" s="1"/>
  <c r="AA94" i="3" s="1"/>
  <c r="J155" i="3"/>
  <c r="L155" i="3" s="1"/>
  <c r="R155" i="3" s="1"/>
  <c r="T155" i="3" s="1"/>
  <c r="V155" i="3" s="1"/>
  <c r="X155" i="3" s="1"/>
  <c r="Z155" i="3" s="1"/>
  <c r="K122" i="3"/>
  <c r="M122" i="3" s="1"/>
  <c r="S122" i="3" s="1"/>
  <c r="U122" i="3" s="1"/>
  <c r="W122" i="3" s="1"/>
  <c r="Y122" i="3" s="1"/>
  <c r="AA122" i="3" s="1"/>
  <c r="K198" i="3"/>
  <c r="M198" i="3" s="1"/>
  <c r="S198" i="3" s="1"/>
  <c r="U198" i="3" s="1"/>
  <c r="W198" i="3" s="1"/>
  <c r="Y198" i="3" s="1"/>
  <c r="AA198" i="3" s="1"/>
  <c r="K153" i="3"/>
  <c r="M153" i="3" s="1"/>
  <c r="S153" i="3" s="1"/>
  <c r="U153" i="3" s="1"/>
  <c r="W153" i="3" s="1"/>
  <c r="Y153" i="3" s="1"/>
  <c r="AA153" i="3" s="1"/>
  <c r="K135" i="3"/>
  <c r="M135" i="3" s="1"/>
  <c r="S135" i="3" s="1"/>
  <c r="U135" i="3" s="1"/>
  <c r="W135" i="3" s="1"/>
  <c r="Y135" i="3" s="1"/>
  <c r="AA135" i="3" s="1"/>
  <c r="J44" i="3"/>
  <c r="L44" i="3" s="1"/>
  <c r="R44" i="3" s="1"/>
  <c r="T44" i="3" s="1"/>
  <c r="V44" i="3" s="1"/>
  <c r="X44" i="3" s="1"/>
  <c r="Z44" i="3" s="1"/>
  <c r="K186" i="3"/>
  <c r="M186" i="3" s="1"/>
  <c r="S186" i="3" s="1"/>
  <c r="U186" i="3" s="1"/>
  <c r="W186" i="3" s="1"/>
  <c r="Y186" i="3" s="1"/>
  <c r="AA186" i="3" s="1"/>
  <c r="J156" i="3"/>
  <c r="L156" i="3" s="1"/>
  <c r="R156" i="3" s="1"/>
  <c r="T156" i="3" s="1"/>
  <c r="V156" i="3" s="1"/>
  <c r="X156" i="3" s="1"/>
  <c r="Z156" i="3" s="1"/>
  <c r="J184" i="3"/>
  <c r="L184" i="3" s="1"/>
  <c r="R184" i="3" s="1"/>
  <c r="T184" i="3" s="1"/>
  <c r="V184" i="3" s="1"/>
  <c r="X184" i="3" s="1"/>
  <c r="Z184" i="3" s="1"/>
  <c r="J9" i="3"/>
  <c r="L9" i="3" s="1"/>
  <c r="R9" i="3" s="1"/>
  <c r="T9" i="3" s="1"/>
  <c r="V9" i="3" s="1"/>
  <c r="X9" i="3" s="1"/>
  <c r="Z9" i="3" s="1"/>
  <c r="K107" i="3"/>
  <c r="M107" i="3" s="1"/>
  <c r="S107" i="3" s="1"/>
  <c r="U107" i="3" s="1"/>
  <c r="W107" i="3" s="1"/>
  <c r="Y107" i="3" s="1"/>
  <c r="AA107" i="3" s="1"/>
  <c r="J131" i="3"/>
  <c r="L131" i="3" s="1"/>
  <c r="R131" i="3" s="1"/>
  <c r="T131" i="3" s="1"/>
  <c r="V131" i="3" s="1"/>
  <c r="X131" i="3" s="1"/>
  <c r="Z131" i="3" s="1"/>
  <c r="J25" i="3"/>
  <c r="L25" i="3" s="1"/>
  <c r="R25" i="3" s="1"/>
  <c r="T25" i="3" s="1"/>
  <c r="V25" i="3" s="1"/>
  <c r="X25" i="3" s="1"/>
  <c r="Z25" i="3" s="1"/>
  <c r="K96" i="3"/>
  <c r="M96" i="3" s="1"/>
  <c r="S96" i="3" s="1"/>
  <c r="U96" i="3" s="1"/>
  <c r="W96" i="3" s="1"/>
  <c r="Y96" i="3" s="1"/>
  <c r="AA96" i="3" s="1"/>
  <c r="K66" i="3"/>
  <c r="M66" i="3" s="1"/>
  <c r="S66" i="3" s="1"/>
  <c r="U66" i="3" s="1"/>
  <c r="W66" i="3" s="1"/>
  <c r="Y66" i="3" s="1"/>
  <c r="AA66" i="3" s="1"/>
  <c r="K134" i="3"/>
  <c r="M134" i="3" s="1"/>
  <c r="S134" i="3" s="1"/>
  <c r="U134" i="3" s="1"/>
  <c r="W134" i="3" s="1"/>
  <c r="Y134" i="3" s="1"/>
  <c r="AA134" i="3" s="1"/>
  <c r="J129" i="3"/>
  <c r="L129" i="3" s="1"/>
  <c r="R129" i="3" s="1"/>
  <c r="T129" i="3" s="1"/>
  <c r="V129" i="3" s="1"/>
  <c r="X129" i="3" s="1"/>
  <c r="Z129" i="3" s="1"/>
  <c r="K81" i="3"/>
  <c r="M81" i="3" s="1"/>
  <c r="S81" i="3" s="1"/>
  <c r="U81" i="3" s="1"/>
  <c r="W81" i="3" s="1"/>
  <c r="Y81" i="3" s="1"/>
  <c r="AA81" i="3" s="1"/>
  <c r="J23" i="3"/>
  <c r="L23" i="3" s="1"/>
  <c r="R23" i="3" s="1"/>
  <c r="T23" i="3" s="1"/>
  <c r="V23" i="3" s="1"/>
  <c r="X23" i="3" s="1"/>
  <c r="Z23" i="3" s="1"/>
  <c r="K56" i="3"/>
  <c r="M56" i="3" s="1"/>
  <c r="S56" i="3" s="1"/>
  <c r="U56" i="3" s="1"/>
  <c r="W56" i="3" s="1"/>
  <c r="Y56" i="3" s="1"/>
  <c r="AA56" i="3" s="1"/>
  <c r="K116" i="3"/>
  <c r="M116" i="3" s="1"/>
  <c r="S116" i="3" s="1"/>
  <c r="U116" i="3" s="1"/>
  <c r="W116" i="3" s="1"/>
  <c r="Y116" i="3" s="1"/>
  <c r="AA116" i="3" s="1"/>
  <c r="K38" i="3"/>
  <c r="M38" i="3" s="1"/>
  <c r="S38" i="3" s="1"/>
  <c r="U38" i="3" s="1"/>
  <c r="W38" i="3" s="1"/>
  <c r="Y38" i="3" s="1"/>
  <c r="AA38" i="3" s="1"/>
  <c r="K40" i="3"/>
  <c r="M40" i="3" s="1"/>
  <c r="S40" i="3" s="1"/>
  <c r="U40" i="3" s="1"/>
  <c r="W40" i="3" s="1"/>
  <c r="Y40" i="3" s="1"/>
  <c r="AA40" i="3" s="1"/>
  <c r="K105" i="3"/>
  <c r="M105" i="3" s="1"/>
  <c r="S105" i="3" s="1"/>
  <c r="U105" i="3" s="1"/>
  <c r="W105" i="3" s="1"/>
  <c r="Y105" i="3" s="1"/>
  <c r="AA105" i="3" s="1"/>
  <c r="J192" i="3"/>
  <c r="L192" i="3" s="1"/>
  <c r="R192" i="3" s="1"/>
  <c r="T192" i="3" s="1"/>
  <c r="V192" i="3" s="1"/>
  <c r="X192" i="3" s="1"/>
  <c r="Z192" i="3" s="1"/>
  <c r="K170" i="3"/>
  <c r="M170" i="3" s="1"/>
  <c r="S170" i="3" s="1"/>
  <c r="U170" i="3" s="1"/>
  <c r="W170" i="3" s="1"/>
  <c r="Y170" i="3" s="1"/>
  <c r="AA170" i="3" s="1"/>
  <c r="J54" i="3"/>
  <c r="L54" i="3" s="1"/>
  <c r="R54" i="3" s="1"/>
  <c r="T54" i="3" s="1"/>
  <c r="V54" i="3" s="1"/>
  <c r="X54" i="3" s="1"/>
  <c r="Z54" i="3" s="1"/>
  <c r="K138" i="3"/>
  <c r="M138" i="3" s="1"/>
  <c r="S138" i="3" s="1"/>
  <c r="U138" i="3" s="1"/>
  <c r="W138" i="3" s="1"/>
  <c r="Y138" i="3" s="1"/>
  <c r="AA138" i="3" s="1"/>
  <c r="K97" i="3"/>
  <c r="M97" i="3" s="1"/>
  <c r="S97" i="3" s="1"/>
  <c r="U97" i="3" s="1"/>
  <c r="W97" i="3" s="1"/>
  <c r="Y97" i="3" s="1"/>
  <c r="AA97" i="3" s="1"/>
  <c r="K113" i="3"/>
  <c r="M113" i="3" s="1"/>
  <c r="S113" i="3" s="1"/>
  <c r="U113" i="3" s="1"/>
  <c r="W113" i="3" s="1"/>
  <c r="Y113" i="3" s="1"/>
  <c r="AA113" i="3" s="1"/>
  <c r="K200" i="3"/>
  <c r="M200" i="3" s="1"/>
  <c r="S200" i="3" s="1"/>
  <c r="U200" i="3" s="1"/>
  <c r="W200" i="3" s="1"/>
  <c r="Y200" i="3" s="1"/>
  <c r="AA200" i="3" s="1"/>
  <c r="J49" i="3"/>
  <c r="L49" i="3" s="1"/>
  <c r="R49" i="3" s="1"/>
  <c r="T49" i="3" s="1"/>
  <c r="V49" i="3" s="1"/>
  <c r="X49" i="3" s="1"/>
  <c r="Z49" i="3" s="1"/>
  <c r="K133" i="3"/>
  <c r="M133" i="3" s="1"/>
  <c r="S133" i="3" s="1"/>
  <c r="U133" i="3" s="1"/>
  <c r="W133" i="3" s="1"/>
  <c r="Y133" i="3" s="1"/>
  <c r="AA133" i="3" s="1"/>
  <c r="K12" i="3"/>
  <c r="M12" i="3" s="1"/>
  <c r="S12" i="3" s="1"/>
  <c r="U12" i="3" s="1"/>
  <c r="W12" i="3" s="1"/>
  <c r="Y12" i="3" s="1"/>
  <c r="AA12" i="3" s="1"/>
  <c r="J2" i="3"/>
  <c r="L2" i="3" s="1"/>
  <c r="R2" i="3" s="1"/>
  <c r="T2" i="3" s="1"/>
  <c r="V2" i="3" s="1"/>
  <c r="J85" i="3"/>
  <c r="L85" i="3" s="1"/>
  <c r="R85" i="3" s="1"/>
  <c r="T85" i="3" s="1"/>
  <c r="V85" i="3" s="1"/>
  <c r="X85" i="3" s="1"/>
  <c r="Z85" i="3" s="1"/>
  <c r="K35" i="3"/>
  <c r="M35" i="3" s="1"/>
  <c r="S35" i="3" s="1"/>
  <c r="U35" i="3" s="1"/>
  <c r="W35" i="3" s="1"/>
  <c r="Y35" i="3" s="1"/>
  <c r="AA35" i="3" s="1"/>
  <c r="K106" i="3"/>
  <c r="M106" i="3" s="1"/>
  <c r="S106" i="3" s="1"/>
  <c r="U106" i="3" s="1"/>
  <c r="W106" i="3" s="1"/>
  <c r="Y106" i="3" s="1"/>
  <c r="AA106" i="3" s="1"/>
  <c r="J164" i="3"/>
  <c r="L164" i="3" s="1"/>
  <c r="R164" i="3" s="1"/>
  <c r="T164" i="3" s="1"/>
  <c r="V164" i="3" s="1"/>
  <c r="X164" i="3" s="1"/>
  <c r="Z164" i="3" s="1"/>
  <c r="J13" i="3"/>
  <c r="L13" i="3" s="1"/>
  <c r="R13" i="3" s="1"/>
  <c r="T13" i="3" s="1"/>
  <c r="V13" i="3" s="1"/>
  <c r="X13" i="3" s="1"/>
  <c r="Z13" i="3" s="1"/>
  <c r="J65" i="3"/>
  <c r="L65" i="3" s="1"/>
  <c r="R65" i="3" s="1"/>
  <c r="T65" i="3" s="1"/>
  <c r="V65" i="3" s="1"/>
  <c r="X65" i="3" s="1"/>
  <c r="Z65" i="3" s="1"/>
  <c r="J8" i="3"/>
  <c r="L8" i="3" s="1"/>
  <c r="R8" i="3" s="1"/>
  <c r="T8" i="3" s="1"/>
  <c r="V8" i="3" s="1"/>
  <c r="X8" i="3" s="1"/>
  <c r="Z8" i="3" s="1"/>
  <c r="J146" i="3"/>
  <c r="L146" i="3" s="1"/>
  <c r="R146" i="3" s="1"/>
  <c r="T146" i="3" s="1"/>
  <c r="V146" i="3" s="1"/>
  <c r="X146" i="3" s="1"/>
  <c r="Z146" i="3" s="1"/>
  <c r="K136" i="3"/>
  <c r="M136" i="3" s="1"/>
  <c r="S136" i="3" s="1"/>
  <c r="U136" i="3" s="1"/>
  <c r="W136" i="3" s="1"/>
  <c r="Y136" i="3" s="1"/>
  <c r="AA136" i="3" s="1"/>
  <c r="K28" i="3"/>
  <c r="M28" i="3" s="1"/>
  <c r="S28" i="3" s="1"/>
  <c r="U28" i="3" s="1"/>
  <c r="W28" i="3" s="1"/>
  <c r="Y28" i="3" s="1"/>
  <c r="AA28" i="3" s="1"/>
  <c r="J63" i="3"/>
  <c r="L63" i="3" s="1"/>
  <c r="R63" i="3" s="1"/>
  <c r="T63" i="3" s="1"/>
  <c r="V63" i="3" s="1"/>
  <c r="X63" i="3" s="1"/>
  <c r="Z63" i="3" s="1"/>
  <c r="K143" i="3"/>
  <c r="M143" i="3" s="1"/>
  <c r="S143" i="3" s="1"/>
  <c r="U143" i="3" s="1"/>
  <c r="W143" i="3" s="1"/>
  <c r="Y143" i="3" s="1"/>
  <c r="AA143" i="3" s="1"/>
  <c r="K77" i="3"/>
  <c r="M77" i="3" s="1"/>
  <c r="S77" i="3" s="1"/>
  <c r="U77" i="3" s="1"/>
  <c r="W77" i="3" s="1"/>
  <c r="Y77" i="3" s="1"/>
  <c r="AA77" i="3" s="1"/>
  <c r="K3" i="3"/>
  <c r="M3" i="3" s="1"/>
  <c r="S3" i="3" s="1"/>
  <c r="U3" i="3" s="1"/>
  <c r="W3" i="3" s="1"/>
  <c r="Y3" i="3" s="1"/>
  <c r="AA3" i="3" s="1"/>
  <c r="J103" i="3"/>
  <c r="L103" i="3" s="1"/>
  <c r="R103" i="3" s="1"/>
  <c r="T103" i="3" s="1"/>
  <c r="V103" i="3" s="1"/>
  <c r="X103" i="3" s="1"/>
  <c r="Z103" i="3" s="1"/>
  <c r="J57" i="3"/>
  <c r="L57" i="3" s="1"/>
  <c r="R57" i="3" s="1"/>
  <c r="T57" i="3" s="1"/>
  <c r="V57" i="3" s="1"/>
  <c r="X57" i="3" s="1"/>
  <c r="Z57" i="3" s="1"/>
  <c r="K120" i="3"/>
  <c r="M120" i="3" s="1"/>
  <c r="S120" i="3" s="1"/>
  <c r="U120" i="3" s="1"/>
  <c r="W120" i="3" s="1"/>
  <c r="Y120" i="3" s="1"/>
  <c r="AA120" i="3" s="1"/>
  <c r="K45" i="3"/>
  <c r="M45" i="3" s="1"/>
  <c r="S45" i="3" s="1"/>
  <c r="U45" i="3" s="1"/>
  <c r="W45" i="3" s="1"/>
  <c r="Y45" i="3" s="1"/>
  <c r="AA45" i="3" s="1"/>
  <c r="J27" i="3"/>
  <c r="L27" i="3" s="1"/>
  <c r="R27" i="3" s="1"/>
  <c r="T27" i="3" s="1"/>
  <c r="V27" i="3" s="1"/>
  <c r="X27" i="3" s="1"/>
  <c r="Z27" i="3" s="1"/>
  <c r="J195" i="3"/>
  <c r="L195" i="3" s="1"/>
  <c r="R195" i="3" s="1"/>
  <c r="T195" i="3" s="1"/>
  <c r="V195" i="3" s="1"/>
  <c r="X195" i="3" s="1"/>
  <c r="Z195" i="3" s="1"/>
  <c r="J95" i="3"/>
  <c r="L95" i="3" s="1"/>
  <c r="R95" i="3" s="1"/>
  <c r="T95" i="3" s="1"/>
  <c r="V95" i="3" s="1"/>
  <c r="X95" i="3" s="1"/>
  <c r="Z95" i="3" s="1"/>
  <c r="K142" i="3"/>
  <c r="M142" i="3" s="1"/>
  <c r="S142" i="3" s="1"/>
  <c r="U142" i="3" s="1"/>
  <c r="W142" i="3" s="1"/>
  <c r="Y142" i="3" s="1"/>
  <c r="AA142" i="3" s="1"/>
  <c r="K161" i="3"/>
  <c r="M161" i="3" s="1"/>
  <c r="S161" i="3" s="1"/>
  <c r="U161" i="3" s="1"/>
  <c r="W161" i="3" s="1"/>
  <c r="Y161" i="3" s="1"/>
  <c r="AA161" i="3" s="1"/>
  <c r="J18" i="3"/>
  <c r="L18" i="3" s="1"/>
  <c r="R18" i="3" s="1"/>
  <c r="T18" i="3" s="1"/>
  <c r="V18" i="3" s="1"/>
  <c r="X18" i="3" s="1"/>
  <c r="Z18" i="3" s="1"/>
  <c r="K163" i="3"/>
  <c r="M163" i="3" s="1"/>
  <c r="S163" i="3" s="1"/>
  <c r="U163" i="3" s="1"/>
  <c r="W163" i="3" s="1"/>
  <c r="Y163" i="3" s="1"/>
  <c r="AA163" i="3" s="1"/>
  <c r="K92" i="3"/>
  <c r="M92" i="3" s="1"/>
  <c r="S92" i="3" s="1"/>
  <c r="U92" i="3" s="1"/>
  <c r="W92" i="3" s="1"/>
  <c r="Y92" i="3" s="1"/>
  <c r="AA92" i="3" s="1"/>
  <c r="K123" i="3"/>
  <c r="M123" i="3" s="1"/>
  <c r="S123" i="3" s="1"/>
  <c r="U123" i="3" s="1"/>
  <c r="W123" i="3" s="1"/>
  <c r="Y123" i="3" s="1"/>
  <c r="AA123" i="3" s="1"/>
  <c r="J111" i="3"/>
  <c r="L111" i="3" s="1"/>
  <c r="R111" i="3" s="1"/>
  <c r="T111" i="3" s="1"/>
  <c r="V111" i="3" s="1"/>
  <c r="X111" i="3" s="1"/>
  <c r="Z111" i="3" s="1"/>
  <c r="J117" i="3"/>
  <c r="L117" i="3" s="1"/>
  <c r="R117" i="3" s="1"/>
  <c r="T117" i="3" s="1"/>
  <c r="V117" i="3" s="1"/>
  <c r="X117" i="3" s="1"/>
  <c r="Z117" i="3" s="1"/>
  <c r="K59" i="3"/>
  <c r="M59" i="3" s="1"/>
  <c r="S59" i="3" s="1"/>
  <c r="U59" i="3" s="1"/>
  <c r="W59" i="3" s="1"/>
  <c r="Y59" i="3" s="1"/>
  <c r="AA59" i="3" s="1"/>
  <c r="K110" i="3"/>
  <c r="M110" i="3" s="1"/>
  <c r="S110" i="3" s="1"/>
  <c r="U110" i="3" s="1"/>
  <c r="W110" i="3" s="1"/>
  <c r="Y110" i="3" s="1"/>
  <c r="AA110" i="3" s="1"/>
  <c r="J72" i="3"/>
  <c r="L72" i="3" s="1"/>
  <c r="R72" i="3" s="1"/>
  <c r="T72" i="3" s="1"/>
  <c r="V72" i="3" s="1"/>
  <c r="X72" i="3" s="1"/>
  <c r="Z72" i="3" s="1"/>
  <c r="K188" i="3"/>
  <c r="M188" i="3" s="1"/>
  <c r="S188" i="3" s="1"/>
  <c r="U188" i="3" s="1"/>
  <c r="W188" i="3" s="1"/>
  <c r="Y188" i="3" s="1"/>
  <c r="AA188" i="3" s="1"/>
  <c r="K82" i="3"/>
  <c r="M82" i="3" s="1"/>
  <c r="S82" i="3" s="1"/>
  <c r="U82" i="3" s="1"/>
  <c r="W82" i="3" s="1"/>
  <c r="Y82" i="3" s="1"/>
  <c r="AA82" i="3" s="1"/>
  <c r="K174" i="3"/>
  <c r="M174" i="3" s="1"/>
  <c r="S174" i="3" s="1"/>
  <c r="U174" i="3" s="1"/>
  <c r="W174" i="3" s="1"/>
  <c r="Y174" i="3" s="1"/>
  <c r="AA174" i="3" s="1"/>
  <c r="K196" i="3"/>
  <c r="M196" i="3" s="1"/>
  <c r="S196" i="3" s="1"/>
  <c r="U196" i="3" s="1"/>
  <c r="W196" i="3" s="1"/>
  <c r="Y196" i="3" s="1"/>
  <c r="AA196" i="3" s="1"/>
  <c r="J32" i="3"/>
  <c r="L32" i="3" s="1"/>
  <c r="R32" i="3" s="1"/>
  <c r="T32" i="3" s="1"/>
  <c r="V32" i="3" s="1"/>
  <c r="X32" i="3" s="1"/>
  <c r="Z32" i="3" s="1"/>
  <c r="K5" i="3"/>
  <c r="M5" i="3" s="1"/>
  <c r="S5" i="3" s="1"/>
  <c r="U5" i="3" s="1"/>
  <c r="W5" i="3" s="1"/>
  <c r="Y5" i="3" s="1"/>
  <c r="AA5" i="3" s="1"/>
  <c r="J78" i="3"/>
  <c r="L78" i="3" s="1"/>
  <c r="R78" i="3" s="1"/>
  <c r="T78" i="3" s="1"/>
  <c r="V78" i="3" s="1"/>
  <c r="X78" i="3" s="1"/>
  <c r="Z78" i="3" s="1"/>
  <c r="K150" i="3"/>
  <c r="M150" i="3" s="1"/>
  <c r="S150" i="3" s="1"/>
  <c r="U150" i="3" s="1"/>
  <c r="W150" i="3" s="1"/>
  <c r="Y150" i="3" s="1"/>
  <c r="AA150" i="3" s="1"/>
  <c r="K104" i="3"/>
  <c r="M104" i="3" s="1"/>
  <c r="S104" i="3" s="1"/>
  <c r="U104" i="3" s="1"/>
  <c r="W104" i="3" s="1"/>
  <c r="Y104" i="3" s="1"/>
  <c r="AA104" i="3" s="1"/>
  <c r="J124" i="3"/>
  <c r="L124" i="3" s="1"/>
  <c r="R124" i="3" s="1"/>
  <c r="T124" i="3" s="1"/>
  <c r="V124" i="3" s="1"/>
  <c r="X124" i="3" s="1"/>
  <c r="Z124" i="3" s="1"/>
  <c r="K176" i="3"/>
  <c r="M176" i="3" s="1"/>
  <c r="S176" i="3" s="1"/>
  <c r="U176" i="3" s="1"/>
  <c r="W176" i="3" s="1"/>
  <c r="Y176" i="3" s="1"/>
  <c r="AA176" i="3" s="1"/>
  <c r="J58" i="3"/>
  <c r="L58" i="3" s="1"/>
  <c r="R58" i="3" s="1"/>
  <c r="T58" i="3" s="1"/>
  <c r="V58" i="3" s="1"/>
  <c r="X58" i="3" s="1"/>
  <c r="Z58" i="3" s="1"/>
  <c r="J114" i="3"/>
  <c r="L114" i="3" s="1"/>
  <c r="R114" i="3" s="1"/>
  <c r="T114" i="3" s="1"/>
  <c r="V114" i="3" s="1"/>
  <c r="X114" i="3" s="1"/>
  <c r="Z114" i="3" s="1"/>
  <c r="K89" i="3"/>
  <c r="M89" i="3" s="1"/>
  <c r="S89" i="3" s="1"/>
  <c r="U89" i="3" s="1"/>
  <c r="W89" i="3" s="1"/>
  <c r="Y89" i="3" s="1"/>
  <c r="AA89" i="3" s="1"/>
  <c r="K165" i="3"/>
  <c r="M165" i="3" s="1"/>
  <c r="S165" i="3" s="1"/>
  <c r="U165" i="3" s="1"/>
  <c r="W165" i="3" s="1"/>
  <c r="Y165" i="3" s="1"/>
  <c r="AA165" i="3" s="1"/>
  <c r="J17" i="3"/>
  <c r="L17" i="3" s="1"/>
  <c r="R17" i="3" s="1"/>
  <c r="T17" i="3" s="1"/>
  <c r="V17" i="3" s="1"/>
  <c r="X17" i="3" s="1"/>
  <c r="Z17" i="3" s="1"/>
  <c r="K73" i="3"/>
  <c r="M73" i="3" s="1"/>
  <c r="S73" i="3" s="1"/>
  <c r="U73" i="3" s="1"/>
  <c r="W73" i="3" s="1"/>
  <c r="Y73" i="3" s="1"/>
  <c r="AA73" i="3" s="1"/>
  <c r="J52" i="3"/>
  <c r="L52" i="3" s="1"/>
  <c r="R52" i="3" s="1"/>
  <c r="T52" i="3" s="1"/>
  <c r="V52" i="3" s="1"/>
  <c r="X52" i="3" s="1"/>
  <c r="Z52" i="3" s="1"/>
  <c r="K14" i="3"/>
  <c r="M14" i="3" s="1"/>
  <c r="S14" i="3" s="1"/>
  <c r="U14" i="3" s="1"/>
  <c r="W14" i="3" s="1"/>
  <c r="Y14" i="3" s="1"/>
  <c r="AA14" i="3" s="1"/>
  <c r="J22" i="3"/>
  <c r="L22" i="3" s="1"/>
  <c r="R22" i="3" s="1"/>
  <c r="T22" i="3" s="1"/>
  <c r="V22" i="3" s="1"/>
  <c r="X22" i="3" s="1"/>
  <c r="Z22" i="3" s="1"/>
  <c r="K126" i="3"/>
  <c r="M126" i="3" s="1"/>
  <c r="S126" i="3" s="1"/>
  <c r="U126" i="3" s="1"/>
  <c r="W126" i="3" s="1"/>
  <c r="Y126" i="3" s="1"/>
  <c r="AA126" i="3" s="1"/>
  <c r="K51" i="3"/>
  <c r="M51" i="3" s="1"/>
  <c r="S51" i="3" s="1"/>
  <c r="U51" i="3" s="1"/>
  <c r="W51" i="3" s="1"/>
  <c r="Y51" i="3" s="1"/>
  <c r="AA51" i="3" s="1"/>
  <c r="J173" i="3"/>
  <c r="L173" i="3" s="1"/>
  <c r="R173" i="3" s="1"/>
  <c r="T173" i="3" s="1"/>
  <c r="V173" i="3" s="1"/>
  <c r="X173" i="3" s="1"/>
  <c r="Z173" i="3" s="1"/>
  <c r="J187" i="3"/>
  <c r="L187" i="3" s="1"/>
  <c r="R187" i="3" s="1"/>
  <c r="T187" i="3" s="1"/>
  <c r="V187" i="3" s="1"/>
  <c r="X187" i="3" s="1"/>
  <c r="Z187" i="3" s="1"/>
  <c r="J151" i="3"/>
  <c r="L151" i="3" s="1"/>
  <c r="R151" i="3" s="1"/>
  <c r="T151" i="3" s="1"/>
  <c r="V151" i="3" s="1"/>
  <c r="X151" i="3" s="1"/>
  <c r="Z151" i="3" s="1"/>
  <c r="J33" i="3"/>
  <c r="L33" i="3" s="1"/>
  <c r="R33" i="3" s="1"/>
  <c r="T33" i="3" s="1"/>
  <c r="V33" i="3" s="1"/>
  <c r="X33" i="3" s="1"/>
  <c r="Z33" i="3" s="1"/>
  <c r="K189" i="3"/>
  <c r="M189" i="3" s="1"/>
  <c r="S189" i="3" s="1"/>
  <c r="U189" i="3" s="1"/>
  <c r="W189" i="3" s="1"/>
  <c r="Y189" i="3" s="1"/>
  <c r="AA189" i="3" s="1"/>
  <c r="K194" i="3"/>
  <c r="M194" i="3" s="1"/>
  <c r="S194" i="3" s="1"/>
  <c r="U194" i="3" s="1"/>
  <c r="W194" i="3" s="1"/>
  <c r="Y194" i="3" s="1"/>
  <c r="AA194" i="3" s="1"/>
  <c r="K83" i="3"/>
  <c r="M83" i="3" s="1"/>
  <c r="S83" i="3" s="1"/>
  <c r="U83" i="3" s="1"/>
  <c r="W83" i="3" s="1"/>
  <c r="Y83" i="3" s="1"/>
  <c r="AA83" i="3" s="1"/>
  <c r="J83" i="3"/>
  <c r="L83" i="3" s="1"/>
  <c r="R83" i="3" s="1"/>
  <c r="T83" i="3" s="1"/>
  <c r="V83" i="3" s="1"/>
  <c r="X83" i="3" s="1"/>
  <c r="Z83" i="3" s="1"/>
  <c r="K87" i="3"/>
  <c r="M87" i="3" s="1"/>
  <c r="S87" i="3" s="1"/>
  <c r="U87" i="3" s="1"/>
  <c r="W87" i="3" s="1"/>
  <c r="Y87" i="3" s="1"/>
  <c r="AA87" i="3" s="1"/>
  <c r="K158" i="3"/>
  <c r="M158" i="3" s="1"/>
  <c r="S158" i="3" s="1"/>
  <c r="U158" i="3" s="1"/>
  <c r="W158" i="3" s="1"/>
  <c r="Y158" i="3" s="1"/>
  <c r="AA158" i="3" s="1"/>
  <c r="J46" i="3"/>
  <c r="L46" i="3" s="1"/>
  <c r="R46" i="3" s="1"/>
  <c r="T46" i="3" s="1"/>
  <c r="V46" i="3" s="1"/>
  <c r="X46" i="3" s="1"/>
  <c r="Z46" i="3" s="1"/>
  <c r="K102" i="3"/>
  <c r="M102" i="3" s="1"/>
  <c r="S102" i="3" s="1"/>
  <c r="U102" i="3" s="1"/>
  <c r="W102" i="3" s="1"/>
  <c r="Y102" i="3" s="1"/>
  <c r="AA102" i="3" s="1"/>
  <c r="K162" i="3"/>
  <c r="M162" i="3" s="1"/>
  <c r="S162" i="3" s="1"/>
  <c r="U162" i="3" s="1"/>
  <c r="W162" i="3" s="1"/>
  <c r="Y162" i="3" s="1"/>
  <c r="AA162" i="3" s="1"/>
  <c r="K84" i="3"/>
  <c r="M84" i="3" s="1"/>
  <c r="S84" i="3" s="1"/>
  <c r="U84" i="3" s="1"/>
  <c r="W84" i="3" s="1"/>
  <c r="Y84" i="3" s="1"/>
  <c r="AA84" i="3" s="1"/>
  <c r="K20" i="3"/>
  <c r="M20" i="3" s="1"/>
  <c r="S20" i="3" s="1"/>
  <c r="U20" i="3" s="1"/>
  <c r="W20" i="3" s="1"/>
  <c r="Y20" i="3" s="1"/>
  <c r="AA20" i="3" s="1"/>
  <c r="J160" i="3"/>
  <c r="L160" i="3" s="1"/>
  <c r="R160" i="3" s="1"/>
  <c r="T160" i="3" s="1"/>
  <c r="V160" i="3" s="1"/>
  <c r="X160" i="3" s="1"/>
  <c r="Z160" i="3" s="1"/>
  <c r="K178" i="3"/>
  <c r="M178" i="3" s="1"/>
  <c r="S178" i="3" s="1"/>
  <c r="U178" i="3" s="1"/>
  <c r="W178" i="3" s="1"/>
  <c r="Y178" i="3" s="1"/>
  <c r="AA178" i="3" s="1"/>
  <c r="K67" i="3"/>
  <c r="M67" i="3" s="1"/>
  <c r="S67" i="3" s="1"/>
  <c r="U67" i="3" s="1"/>
  <c r="W67" i="3" s="1"/>
  <c r="Y67" i="3" s="1"/>
  <c r="AA67" i="3" s="1"/>
  <c r="J168" i="3"/>
  <c r="L168" i="3" s="1"/>
  <c r="R168" i="3" s="1"/>
  <c r="T168" i="3" s="1"/>
  <c r="V168" i="3" s="1"/>
  <c r="X168" i="3" s="1"/>
  <c r="Z168" i="3" s="1"/>
  <c r="K60" i="3"/>
  <c r="M60" i="3" s="1"/>
  <c r="S60" i="3" s="1"/>
  <c r="U60" i="3" s="1"/>
  <c r="W60" i="3" s="1"/>
  <c r="Y60" i="3" s="1"/>
  <c r="AA60" i="3" s="1"/>
  <c r="J125" i="3"/>
  <c r="L125" i="3" s="1"/>
  <c r="R125" i="3" s="1"/>
  <c r="T125" i="3" s="1"/>
  <c r="V125" i="3" s="1"/>
  <c r="X125" i="3" s="1"/>
  <c r="Z125" i="3" s="1"/>
  <c r="J115" i="3"/>
  <c r="L115" i="3" s="1"/>
  <c r="R115" i="3" s="1"/>
  <c r="T115" i="3" s="1"/>
  <c r="V115" i="3" s="1"/>
  <c r="X115" i="3" s="1"/>
  <c r="Z115" i="3" s="1"/>
  <c r="K86" i="3"/>
  <c r="M86" i="3" s="1"/>
  <c r="S86" i="3" s="1"/>
  <c r="U86" i="3" s="1"/>
  <c r="W86" i="3" s="1"/>
  <c r="Y86" i="3" s="1"/>
  <c r="AA86" i="3" s="1"/>
  <c r="J177" i="3"/>
  <c r="L177" i="3" s="1"/>
  <c r="R177" i="3" s="1"/>
  <c r="T177" i="3" s="1"/>
  <c r="V177" i="3" s="1"/>
  <c r="X177" i="3" s="1"/>
  <c r="Z177" i="3" s="1"/>
  <c r="K167" i="3"/>
  <c r="M167" i="3" s="1"/>
  <c r="S167" i="3" s="1"/>
  <c r="U167" i="3" s="1"/>
  <c r="W167" i="3" s="1"/>
  <c r="Y167" i="3" s="1"/>
  <c r="AA167" i="3" s="1"/>
  <c r="J41" i="3"/>
  <c r="L41" i="3" s="1"/>
  <c r="R41" i="3" s="1"/>
  <c r="T41" i="3" s="1"/>
  <c r="V41" i="3" s="1"/>
  <c r="X41" i="3" s="1"/>
  <c r="Z41" i="3" s="1"/>
  <c r="K169" i="3"/>
  <c r="M169" i="3" s="1"/>
  <c r="S169" i="3" s="1"/>
  <c r="U169" i="3" s="1"/>
  <c r="W169" i="3" s="1"/>
  <c r="Y169" i="3" s="1"/>
  <c r="AA169" i="3" s="1"/>
  <c r="J47" i="3"/>
  <c r="L47" i="3" s="1"/>
  <c r="R47" i="3" s="1"/>
  <c r="T47" i="3" s="1"/>
  <c r="V47" i="3" s="1"/>
  <c r="X47" i="3" s="1"/>
  <c r="Z47" i="3" s="1"/>
  <c r="J64" i="3"/>
  <c r="L64" i="3" s="1"/>
  <c r="R64" i="3" s="1"/>
  <c r="T64" i="3" s="1"/>
  <c r="V64" i="3" s="1"/>
  <c r="X64" i="3" s="1"/>
  <c r="Z64" i="3" s="1"/>
  <c r="J183" i="3"/>
  <c r="L183" i="3" s="1"/>
  <c r="R183" i="3" s="1"/>
  <c r="T183" i="3" s="1"/>
  <c r="V183" i="3" s="1"/>
  <c r="X183" i="3" s="1"/>
  <c r="Z183" i="3" s="1"/>
  <c r="J11" i="3"/>
  <c r="L11" i="3" s="1"/>
  <c r="R11" i="3" s="1"/>
  <c r="T11" i="3" s="1"/>
  <c r="V11" i="3" s="1"/>
  <c r="X11" i="3" s="1"/>
  <c r="Z11" i="3" s="1"/>
  <c r="K30" i="3"/>
  <c r="M30" i="3" s="1"/>
  <c r="S30" i="3" s="1"/>
  <c r="U30" i="3" s="1"/>
  <c r="W30" i="3" s="1"/>
  <c r="Y30" i="3" s="1"/>
  <c r="AA30" i="3" s="1"/>
  <c r="J91" i="3"/>
  <c r="L91" i="3" s="1"/>
  <c r="R91" i="3" s="1"/>
  <c r="T91" i="3" s="1"/>
  <c r="V91" i="3" s="1"/>
  <c r="X91" i="3" s="1"/>
  <c r="Z91" i="3" s="1"/>
  <c r="J101" i="3"/>
  <c r="L101" i="3" s="1"/>
  <c r="R101" i="3" s="1"/>
  <c r="T101" i="3" s="1"/>
  <c r="V101" i="3" s="1"/>
  <c r="X101" i="3" s="1"/>
  <c r="Z101" i="3" s="1"/>
  <c r="K137" i="3"/>
  <c r="M137" i="3" s="1"/>
  <c r="S137" i="3" s="1"/>
  <c r="U137" i="3" s="1"/>
  <c r="W137" i="3" s="1"/>
  <c r="Y137" i="3" s="1"/>
  <c r="AA137" i="3" s="1"/>
  <c r="K53" i="3"/>
  <c r="M53" i="3" s="1"/>
  <c r="S53" i="3" s="1"/>
  <c r="U53" i="3" s="1"/>
  <c r="W53" i="3" s="1"/>
  <c r="Y53" i="3" s="1"/>
  <c r="AA53" i="3" s="1"/>
  <c r="K193" i="3"/>
  <c r="M193" i="3" s="1"/>
  <c r="S193" i="3" s="1"/>
  <c r="U193" i="3" s="1"/>
  <c r="W193" i="3" s="1"/>
  <c r="Y193" i="3" s="1"/>
  <c r="AA193" i="3" s="1"/>
  <c r="AA2" i="3"/>
  <c r="X2" i="3" l="1"/>
  <c r="Z2" i="3" s="1"/>
  <c r="C36" i="7"/>
  <c r="AF51" i="3"/>
  <c r="AE51" i="3"/>
  <c r="C37" i="7" l="1"/>
  <c r="B36" i="7"/>
  <c r="B37" i="7" l="1"/>
  <c r="C39" i="7"/>
  <c r="AF52" i="3" l="1"/>
  <c r="B39" i="7"/>
  <c r="AE5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<sst xmlns="http://schemas.openxmlformats.org/spreadsheetml/2006/main" count="298" uniqueCount="210">
  <si>
    <t>f</t>
  </si>
  <si>
    <t>b1</t>
  </si>
  <si>
    <t>b0</t>
  </si>
  <si>
    <t>f [Hz]</t>
  </si>
  <si>
    <t>IL</t>
  </si>
  <si>
    <t>eq149-14_us</t>
  </si>
  <si>
    <t>eq149-14_ds</t>
  </si>
  <si>
    <t>Tx_PSD_us</t>
  </si>
  <si>
    <t>Tx_PSD_ds</t>
  </si>
  <si>
    <t>Rx_PSD_us</t>
  </si>
  <si>
    <t>Rx_PSD_ds</t>
  </si>
  <si>
    <t>eq149-22_us</t>
  </si>
  <si>
    <t>eq149-22_ds</t>
  </si>
  <si>
    <t>Rx_echo_us</t>
  </si>
  <si>
    <t>Rx_echo_ds</t>
  </si>
  <si>
    <t>AFE_noise_us</t>
  </si>
  <si>
    <t>AFE_noise_ds</t>
  </si>
  <si>
    <t>EC_cancelation_us</t>
  </si>
  <si>
    <t>EC_cancelation_ds</t>
  </si>
  <si>
    <t>Echo_res_us</t>
  </si>
  <si>
    <t>Echo_res_ds</t>
  </si>
  <si>
    <t>Noise_us</t>
  </si>
  <si>
    <t>Noise_ds</t>
  </si>
  <si>
    <t>SNR_us</t>
  </si>
  <si>
    <t>SNRdB_us</t>
  </si>
  <si>
    <t>SNRdB_ds</t>
  </si>
  <si>
    <t>Freq</t>
  </si>
  <si>
    <t>SNR_ds</t>
  </si>
  <si>
    <t>PSD_brick_us</t>
  </si>
  <si>
    <t>dF</t>
  </si>
  <si>
    <t>Inband_us</t>
  </si>
  <si>
    <t>Inband_ds</t>
  </si>
  <si>
    <t>PSD_brick_ds</t>
  </si>
  <si>
    <t>connector_echo</t>
  </si>
  <si>
    <t>wire_echo</t>
  </si>
  <si>
    <t>channel_echo</t>
  </si>
  <si>
    <t>Echo_transfer_us</t>
  </si>
  <si>
    <t>Echo_transfer_ds</t>
  </si>
  <si>
    <t>PAM Levels:</t>
  </si>
  <si>
    <t>Target RS-FEC output BER:</t>
  </si>
  <si>
    <t>FEC Block Size (n):</t>
  </si>
  <si>
    <t>Bits per FEC Symbol:</t>
  </si>
  <si>
    <t>Impulse Error Rate:</t>
  </si>
  <si>
    <t>Corectable Errors per FEC Block:</t>
  </si>
  <si>
    <t>Average Errors per FEC Block:</t>
  </si>
  <si>
    <t>Average Errors per FEC Symbol:</t>
  </si>
  <si>
    <t>Required Slicer BER:</t>
  </si>
  <si>
    <t>Required Gaussian Slicer BER:</t>
  </si>
  <si>
    <t>Required SNR [linear]:</t>
  </si>
  <si>
    <t>Required SNR [dB]:</t>
  </si>
  <si>
    <t>Cable Length [m]:</t>
  </si>
  <si>
    <t>PSD-mask:</t>
  </si>
  <si>
    <t>Transmit Power [dBm]:</t>
  </si>
  <si>
    <t>Wire u-reflections [dB]:</t>
  </si>
  <si>
    <t>EC cancelation [dB]:</t>
  </si>
  <si>
    <t>EC Connector cancelation [%]:</t>
  </si>
  <si>
    <t>Implementation Loss [dB]:</t>
  </si>
  <si>
    <t>Modulation</t>
  </si>
  <si>
    <t>Transmit Signal</t>
  </si>
  <si>
    <t>Simulation Parameters</t>
  </si>
  <si>
    <t>Upstream</t>
  </si>
  <si>
    <t>Downstream</t>
  </si>
  <si>
    <t>Sampling Rate [Hz]:</t>
  </si>
  <si>
    <t>Nyquist Frequncy [Hz]:</t>
  </si>
  <si>
    <t>S_ch:</t>
  </si>
  <si>
    <t>K_ch_UPSD:</t>
  </si>
  <si>
    <t>RS-Overhead:</t>
  </si>
  <si>
    <t>SNR Margin [dB]:</t>
  </si>
  <si>
    <t>Theoretical Slicer SNR [dB]:</t>
  </si>
  <si>
    <t>Estimated Slicer SNR [dB]:</t>
  </si>
  <si>
    <t>Number of Connectors:</t>
  </si>
  <si>
    <t>TDD Time Duty-Cycle:</t>
  </si>
  <si>
    <t>Cable Model:</t>
  </si>
  <si>
    <t>Parameters</t>
  </si>
  <si>
    <t>eq149-18</t>
  </si>
  <si>
    <t>Connector Echo Model:</t>
  </si>
  <si>
    <t>Good</t>
  </si>
  <si>
    <t>Easy</t>
  </si>
  <si>
    <t>C0 Value</t>
  </si>
  <si>
    <t>Hard</t>
  </si>
  <si>
    <t>Frequncy Step [Hz]:</t>
  </si>
  <si>
    <t>Bad</t>
  </si>
  <si>
    <t>FEC Data Size (k):</t>
  </si>
  <si>
    <t>THIS SOFTWARE IS PROVIDED "AS IS" WITHOUT ANY EXPRESSED OR IMPLIED WARRANTIES, INCLUDING, BUT NOT LIMITED TO MERCHANTABILITY AND FITNESS FOR A PARTICULAR PURPOSE. </t>
  </si>
  <si>
    <t>Design Tradeoff</t>
  </si>
  <si>
    <t>Calculated Values</t>
  </si>
  <si>
    <t>Required Slicer SNR [dB]:</t>
  </si>
  <si>
    <t>Nyquist Frequency [GHz]:</t>
  </si>
  <si>
    <t>Data Rate [Gbps]:</t>
  </si>
  <si>
    <t xml:space="preserve">Difficulty </t>
  </si>
  <si>
    <t>Selected Difficulty:</t>
  </si>
  <si>
    <t>mueller_3cy_01_10_14_20_target</t>
  </si>
  <si>
    <t>P</t>
  </si>
  <si>
    <t>patel_3cy_01_0920</t>
  </si>
  <si>
    <t>boyer_3cy_01_10_14_20_c1</t>
  </si>
  <si>
    <t>Max Simulation Frequency:</t>
  </si>
  <si>
    <t>RS-FEC Correction Efficiency:</t>
  </si>
  <si>
    <t xml:space="preserve">Echo Difficulty </t>
  </si>
  <si>
    <t>IEEE 802.3ch PSD mask parameters</t>
  </si>
  <si>
    <t>Go to "Config" tab to start using this spreadsheet.</t>
  </si>
  <si>
    <t>Column2</t>
  </si>
  <si>
    <t>Note: Most cells are locked, but green cells can be edited.</t>
  </si>
  <si>
    <t>Unlock Password:</t>
  </si>
  <si>
    <t>Marvell</t>
  </si>
  <si>
    <t>zimmerman_mask</t>
  </si>
  <si>
    <t>drho</t>
  </si>
  <si>
    <t>zimmerman_3cy_01a_1120</t>
  </si>
  <si>
    <t>AFE-noise [dBm/Hz]:</t>
  </si>
  <si>
    <t>Temperature [°C]:</t>
  </si>
  <si>
    <t>Framing Overhead:</t>
  </si>
  <si>
    <t>mueller_3cy_01_12_01_20_sdp</t>
  </si>
  <si>
    <t>Linear_Noise_us</t>
  </si>
  <si>
    <t>Linear_Noise_ds</t>
  </si>
  <si>
    <t>neulinger_3cy_01_12_15_20</t>
  </si>
  <si>
    <t>mueller_3cy_01_12_01_20_stp</t>
  </si>
  <si>
    <t>Reference</t>
  </si>
  <si>
    <t>Value</t>
  </si>
  <si>
    <t>Wire u-reflections limit:</t>
  </si>
  <si>
    <t>PCB model:</t>
  </si>
  <si>
    <t>kadry_3cy_02_0820</t>
  </si>
  <si>
    <t>pcb_kadry_3cy_02_0820</t>
  </si>
  <si>
    <t>IL_Cable</t>
  </si>
  <si>
    <t>IL_PCB</t>
  </si>
  <si>
    <t>Channel Insertion Loss @ Nyquist [dB]:</t>
  </si>
  <si>
    <t>Cable Insertion Loss @ Nyquist [dB]:</t>
  </si>
  <si>
    <t>PSD_ZOH</t>
  </si>
  <si>
    <t>PSD_ZOH_us</t>
  </si>
  <si>
    <t>PSD_ZOH_ds</t>
  </si>
  <si>
    <t>none</t>
  </si>
  <si>
    <t>US</t>
  </si>
  <si>
    <t>DS</t>
  </si>
  <si>
    <t>custom_rule</t>
  </si>
  <si>
    <t>custom_rule2</t>
  </si>
  <si>
    <t>PSD_brick</t>
  </si>
  <si>
    <t>PSD_Custom</t>
  </si>
  <si>
    <t>PSD Mask</t>
  </si>
  <si>
    <t>Custom_us</t>
  </si>
  <si>
    <t>Custom_ds</t>
  </si>
  <si>
    <t>Requirements</t>
  </si>
  <si>
    <t>jonsson*10_14_20</t>
  </si>
  <si>
    <t>jonsson*12_08_20</t>
  </si>
  <si>
    <t xml:space="preserve">  </t>
  </si>
  <si>
    <t>Butterworth_us</t>
  </si>
  <si>
    <t>Butterworth_ds</t>
  </si>
  <si>
    <t>Butterworth</t>
  </si>
  <si>
    <t>PCB trace length [m]:</t>
  </si>
  <si>
    <t>Column1</t>
  </si>
  <si>
    <t>Selected wire reflection:</t>
  </si>
  <si>
    <t>diminico_3cy_01a_1_5_21_26awg</t>
  </si>
  <si>
    <t>diminico_3cy_01a_1_5_21_28awg</t>
  </si>
  <si>
    <t>DataRate_ds</t>
  </si>
  <si>
    <t>DataRate_us</t>
  </si>
  <si>
    <t>Target_BER</t>
  </si>
  <si>
    <t>cable_length</t>
  </si>
  <si>
    <t>micro_reflection_limit</t>
  </si>
  <si>
    <t>number_of_connectors</t>
  </si>
  <si>
    <t>PAM_ds</t>
  </si>
  <si>
    <t>TDD_DutyCycle_ds</t>
  </si>
  <si>
    <t>PAM_us</t>
  </si>
  <si>
    <t>fec_block_size</t>
  </si>
  <si>
    <t>fec_data_size</t>
  </si>
  <si>
    <t>fec_efficency</t>
  </si>
  <si>
    <t>fec_bits_per_symbol</t>
  </si>
  <si>
    <t>TDD_DutyCycle_us</t>
  </si>
  <si>
    <t>framing_overhead</t>
  </si>
  <si>
    <t>psd_mask_us</t>
  </si>
  <si>
    <t>psd_mask_ds</t>
  </si>
  <si>
    <t>Tx_power_us</t>
  </si>
  <si>
    <t>Tx_power_ds</t>
  </si>
  <si>
    <t>EC_cancel_ds</t>
  </si>
  <si>
    <t>impulse_error_rate</t>
  </si>
  <si>
    <t>EC_cancel_us</t>
  </si>
  <si>
    <t>EC_conector_ratio_us</t>
  </si>
  <si>
    <t>implementation_loss_us</t>
  </si>
  <si>
    <t>implementation_loss_ds</t>
  </si>
  <si>
    <t>cable_model</t>
  </si>
  <si>
    <t>pcb_model</t>
  </si>
  <si>
    <t>PCB_trace_length</t>
  </si>
  <si>
    <t>connector_echo_model</t>
  </si>
  <si>
    <t>T</t>
  </si>
  <si>
    <t>f_max</t>
  </si>
  <si>
    <t>SNR_margin_us</t>
  </si>
  <si>
    <t>SNR_margin_ds</t>
  </si>
  <si>
    <t>Created by Ragnar Jonsson on 1/7/2021
Modified by Ragnar Jonsson on 1/10/2021</t>
  </si>
  <si>
    <t>Case2</t>
  </si>
  <si>
    <t xml:space="preserve">Created by Ragnar Jonsson on 1/7/2021
</t>
  </si>
  <si>
    <t>Case10</t>
  </si>
  <si>
    <t>Created by Ragnar Jonsson on 1/7/2021</t>
  </si>
  <si>
    <t>Case3</t>
  </si>
  <si>
    <t>Case4</t>
  </si>
  <si>
    <t>Created by Ragnar Jonsson on 1/8/2021</t>
  </si>
  <si>
    <t>Case5</t>
  </si>
  <si>
    <t>Case6</t>
  </si>
  <si>
    <t>Created by Ragnar Jonsson on 1/8/2021
Modified by Ragnar Jonsson on 1/8/2021</t>
  </si>
  <si>
    <t>Case7</t>
  </si>
  <si>
    <t>Scenario Summary</t>
  </si>
  <si>
    <t>Changing Cells:</t>
  </si>
  <si>
    <t>Current Values:</t>
  </si>
  <si>
    <t>Result Cells:</t>
  </si>
  <si>
    <t>Notes:  Current Values column represents values of changing cells at</t>
  </si>
  <si>
    <t>time Scenario Summary Report was created.  Changing cells for each</t>
  </si>
  <si>
    <t>scenario are highlighted in gray.</t>
  </si>
  <si>
    <t>Case1</t>
  </si>
  <si>
    <t>Case8</t>
  </si>
  <si>
    <t>Created by Ragnar Jonsson on 1/10/2021</t>
  </si>
  <si>
    <t>Case9</t>
  </si>
  <si>
    <t>koeppendoerfer_3cy_01_10_28_20_sdp3</t>
  </si>
  <si>
    <t>Created by Ragnar Jonsson on 1/8/2021
Modified by Ragnar Jonsson on 1/10/2021</t>
  </si>
  <si>
    <t xml:space="preserve">Created by Ragnar Jonsson on 1/10/2021
</t>
  </si>
  <si>
    <t>jonsson_3cy_01_01_12_21 - Channel Capacity Calculator Version 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</si>
</sst>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000E+00"/>
    <numFmt numFmtId="167" formatCode="0.0000"/>
    <numFmt numFmtId="168" formatCode="0.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28"/>
      <color theme="10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28">
    <xf numFmtId="0" fontId="0" fillId="0" borderId="0" xfId="0"/>
    <xf numFmtId="11" fontId="0" fillId="0" borderId="0" xfId="0" applyNumberFormat="1"/>
    <xf numFmtId="2" fontId="0" fillId="0" borderId="0" xfId="0" applyNumberFormat="1"/>
    <xf numFmtId="0" fontId="0" fillId="0" borderId="0" xfId="0" applyNumberFormat="1"/>
    <xf numFmtId="0" fontId="3" fillId="0" borderId="0" xfId="0" applyFont="1"/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7" xfId="0" applyBorder="1" applyAlignment="1">
      <alignment horizontal="right"/>
    </xf>
    <xf numFmtId="2" fontId="0" fillId="2" borderId="2" xfId="0" applyNumberFormat="1" applyFill="1" applyBorder="1"/>
    <xf numFmtId="0" fontId="0" fillId="0" borderId="0" xfId="0" applyBorder="1"/>
    <xf numFmtId="0" fontId="0" fillId="3" borderId="6" xfId="0" applyFill="1" applyBorder="1"/>
    <xf numFmtId="11" fontId="0" fillId="3" borderId="4" xfId="0" applyNumberFormat="1" applyFill="1" applyBorder="1"/>
    <xf numFmtId="2" fontId="0" fillId="3" borderId="8" xfId="0" applyNumberFormat="1" applyFill="1" applyBorder="1"/>
    <xf numFmtId="0" fontId="0" fillId="0" borderId="1" xfId="0" applyFill="1" applyBorder="1" applyAlignment="1">
      <alignment horizontal="right"/>
    </xf>
    <xf numFmtId="2" fontId="0" fillId="2" borderId="9" xfId="0" applyNumberFormat="1" applyFill="1" applyBorder="1"/>
    <xf numFmtId="2" fontId="0" fillId="9" borderId="9" xfId="0" applyNumberFormat="1" applyFill="1" applyBorder="1"/>
    <xf numFmtId="0" fontId="0" fillId="0" borderId="12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2" xfId="0" applyFill="1" applyBorder="1" applyAlignment="1">
      <alignment horizontal="right"/>
    </xf>
    <xf numFmtId="2" fontId="0" fillId="2" borderId="13" xfId="0" applyNumberFormat="1" applyFill="1" applyBorder="1"/>
    <xf numFmtId="2" fontId="0" fillId="9" borderId="13" xfId="0" applyNumberFormat="1" applyFill="1" applyBorder="1"/>
    <xf numFmtId="0" fontId="0" fillId="0" borderId="15" xfId="0" applyFill="1" applyBorder="1" applyAlignment="1">
      <alignment horizontal="right"/>
    </xf>
    <xf numFmtId="2" fontId="0" fillId="2" borderId="16" xfId="0" applyNumberFormat="1" applyFill="1" applyBorder="1"/>
    <xf numFmtId="2" fontId="0" fillId="2" borderId="17" xfId="0" applyNumberFormat="1" applyFill="1" applyBorder="1"/>
    <xf numFmtId="0" fontId="0" fillId="0" borderId="18" xfId="0" applyBorder="1"/>
    <xf numFmtId="0" fontId="0" fillId="6" borderId="11" xfId="0" applyFont="1" applyFill="1" applyBorder="1" applyAlignment="1">
      <alignment horizontal="right"/>
    </xf>
    <xf numFmtId="0" fontId="0" fillId="7" borderId="12" xfId="0" applyFont="1" applyFill="1" applyBorder="1" applyAlignment="1">
      <alignment horizontal="right"/>
    </xf>
    <xf numFmtId="0" fontId="0" fillId="6" borderId="12" xfId="0" applyFont="1" applyFill="1" applyBorder="1" applyAlignment="1">
      <alignment horizontal="right"/>
    </xf>
    <xf numFmtId="0" fontId="0" fillId="6" borderId="15" xfId="0" applyFont="1" applyFill="1" applyBorder="1" applyAlignment="1">
      <alignment horizontal="right"/>
    </xf>
    <xf numFmtId="0" fontId="0" fillId="8" borderId="21" xfId="0" applyFont="1" applyFill="1" applyBorder="1"/>
    <xf numFmtId="0" fontId="0" fillId="3" borderId="10" xfId="0" applyNumberFormat="1" applyFont="1" applyFill="1" applyBorder="1"/>
    <xf numFmtId="0" fontId="0" fillId="8" borderId="22" xfId="0" applyNumberFormat="1" applyFont="1" applyFill="1" applyBorder="1"/>
    <xf numFmtId="3" fontId="3" fillId="0" borderId="0" xfId="0" applyNumberFormat="1" applyFont="1"/>
    <xf numFmtId="3" fontId="0" fillId="0" borderId="0" xfId="0" applyNumberFormat="1"/>
    <xf numFmtId="0" fontId="0" fillId="0" borderId="5" xfId="0" applyBorder="1"/>
    <xf numFmtId="0" fontId="0" fillId="0" borderId="25" xfId="0" applyBorder="1"/>
    <xf numFmtId="0" fontId="0" fillId="0" borderId="26" xfId="0" applyBorder="1"/>
    <xf numFmtId="0" fontId="0" fillId="8" borderId="9" xfId="0" applyNumberFormat="1" applyFont="1" applyFill="1" applyBorder="1"/>
    <xf numFmtId="0" fontId="0" fillId="0" borderId="11" xfId="0" applyBorder="1"/>
    <xf numFmtId="0" fontId="0" fillId="0" borderId="31" xfId="0" applyBorder="1"/>
    <xf numFmtId="0" fontId="0" fillId="0" borderId="27" xfId="0" applyBorder="1"/>
    <xf numFmtId="0" fontId="0" fillId="8" borderId="13" xfId="0" applyNumberFormat="1" applyFont="1" applyFill="1" applyBorder="1"/>
    <xf numFmtId="0" fontId="0" fillId="8" borderId="17" xfId="0" applyNumberFormat="1" applyFont="1" applyFill="1" applyBorder="1"/>
    <xf numFmtId="0" fontId="0" fillId="3" borderId="13" xfId="0" applyNumberFormat="1" applyFont="1" applyFill="1" applyBorder="1"/>
    <xf numFmtId="2" fontId="0" fillId="8" borderId="16" xfId="0" applyNumberFormat="1" applyFont="1" applyFill="1" applyBorder="1"/>
    <xf numFmtId="2" fontId="0" fillId="8" borderId="17" xfId="0" applyNumberFormat="1" applyFont="1" applyFill="1" applyBorder="1"/>
    <xf numFmtId="0" fontId="0" fillId="4" borderId="9" xfId="0" applyFill="1" applyBorder="1" applyProtection="1">
      <protection locked="0"/>
    </xf>
    <xf numFmtId="0" fontId="0" fillId="4" borderId="13" xfId="0" applyFill="1" applyBorder="1" applyProtection="1">
      <protection locked="0"/>
    </xf>
    <xf numFmtId="11" fontId="0" fillId="4" borderId="9" xfId="0" applyNumberFormat="1" applyFill="1" applyBorder="1" applyProtection="1">
      <protection locked="0"/>
    </xf>
    <xf numFmtId="9" fontId="0" fillId="4" borderId="9" xfId="1" applyFont="1" applyFill="1" applyBorder="1" applyProtection="1">
      <protection locked="0"/>
    </xf>
    <xf numFmtId="9" fontId="0" fillId="4" borderId="13" xfId="1" applyFont="1" applyFill="1" applyBorder="1" applyProtection="1">
      <protection locked="0"/>
    </xf>
    <xf numFmtId="9" fontId="0" fillId="4" borderId="9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4" borderId="0" xfId="0" applyFill="1" applyProtection="1">
      <protection locked="0"/>
    </xf>
    <xf numFmtId="11" fontId="0" fillId="4" borderId="0" xfId="0" applyNumberFormat="1" applyFill="1" applyProtection="1">
      <protection locked="0"/>
    </xf>
    <xf numFmtId="0" fontId="0" fillId="0" borderId="0" xfId="0" applyAlignment="1">
      <alignment horizontal="right"/>
    </xf>
    <xf numFmtId="0" fontId="6" fillId="0" borderId="0" xfId="0" applyFont="1"/>
    <xf numFmtId="0" fontId="2" fillId="5" borderId="1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0" fillId="7" borderId="12" xfId="0" applyFill="1" applyBorder="1" applyAlignment="1">
      <alignment horizontal="right"/>
    </xf>
    <xf numFmtId="0" fontId="0" fillId="7" borderId="32" xfId="0" applyFill="1" applyBorder="1" applyAlignment="1">
      <alignment horizontal="right"/>
    </xf>
    <xf numFmtId="165" fontId="0" fillId="4" borderId="9" xfId="0" applyNumberFormat="1" applyFill="1" applyBorder="1" applyProtection="1">
      <protection locked="0"/>
    </xf>
    <xf numFmtId="165" fontId="0" fillId="4" borderId="13" xfId="1" applyNumberFormat="1" applyFont="1" applyFill="1" applyBorder="1" applyProtection="1">
      <protection locked="0"/>
    </xf>
    <xf numFmtId="0" fontId="2" fillId="5" borderId="33" xfId="0" applyFont="1" applyFill="1" applyBorder="1" applyAlignment="1" applyProtection="1">
      <alignment horizontal="center"/>
      <protection locked="0"/>
    </xf>
    <xf numFmtId="0" fontId="2" fillId="5" borderId="14" xfId="0" applyFont="1" applyFill="1" applyBorder="1" applyAlignment="1" applyProtection="1">
      <alignment horizontal="center"/>
      <protection locked="0"/>
    </xf>
    <xf numFmtId="0" fontId="8" fillId="5" borderId="35" xfId="0" applyFont="1" applyFill="1" applyBorder="1" applyAlignment="1" applyProtection="1">
      <alignment horizontal="center"/>
      <protection locked="0"/>
    </xf>
    <xf numFmtId="0" fontId="8" fillId="5" borderId="34" xfId="0" applyFont="1" applyFill="1" applyBorder="1" applyAlignment="1" applyProtection="1">
      <alignment horizontal="center"/>
      <protection locked="0"/>
    </xf>
    <xf numFmtId="0" fontId="8" fillId="5" borderId="33" xfId="0" applyFont="1" applyFill="1" applyBorder="1" applyAlignment="1" applyProtection="1">
      <alignment horizontal="center"/>
      <protection locked="0"/>
    </xf>
    <xf numFmtId="0" fontId="8" fillId="5" borderId="14" xfId="0" applyFont="1" applyFill="1" applyBorder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11" fontId="0" fillId="4" borderId="13" xfId="0" applyNumberFormat="1" applyFill="1" applyBorder="1" applyProtection="1">
      <protection locked="0"/>
    </xf>
    <xf numFmtId="11" fontId="3" fillId="0" borderId="0" xfId="0" applyNumberFormat="1" applyFont="1"/>
    <xf numFmtId="0" fontId="0" fillId="7" borderId="32" xfId="0" applyFont="1" applyFill="1" applyBorder="1" applyAlignment="1">
      <alignment horizontal="right"/>
    </xf>
    <xf numFmtId="2" fontId="0" fillId="2" borderId="36" xfId="0" applyNumberFormat="1" applyFill="1" applyBorder="1"/>
    <xf numFmtId="2" fontId="0" fillId="2" borderId="37" xfId="0" applyNumberFormat="1" applyFill="1" applyBorder="1"/>
    <xf numFmtId="0" fontId="2" fillId="5" borderId="28" xfId="0" applyFont="1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0" fillId="11" borderId="0" xfId="0" applyFill="1" applyProtection="1">
      <protection locked="0"/>
    </xf>
    <xf numFmtId="0" fontId="0" fillId="4" borderId="9" xfId="0" applyFill="1" applyBorder="1" applyAlignment="1" applyProtection="1">
      <protection locked="0"/>
    </xf>
    <xf numFmtId="0" fontId="0" fillId="4" borderId="13" xfId="0" applyFill="1" applyBorder="1" applyAlignment="1" applyProtection="1">
      <protection locked="0"/>
    </xf>
    <xf numFmtId="0" fontId="0" fillId="7" borderId="0" xfId="0" applyFill="1" applyBorder="1"/>
    <xf numFmtId="2" fontId="0" fillId="7" borderId="0" xfId="0" applyNumberFormat="1" applyFill="1" applyBorder="1"/>
    <xf numFmtId="0" fontId="0" fillId="7" borderId="38" xfId="0" applyFill="1" applyBorder="1"/>
    <xf numFmtId="0" fontId="0" fillId="7" borderId="39" xfId="0" applyFill="1" applyBorder="1"/>
    <xf numFmtId="0" fontId="0" fillId="7" borderId="40" xfId="0" applyFill="1" applyBorder="1"/>
    <xf numFmtId="0" fontId="0" fillId="7" borderId="41" xfId="0" applyFill="1" applyBorder="1"/>
    <xf numFmtId="0" fontId="0" fillId="7" borderId="42" xfId="0" applyFill="1" applyBorder="1"/>
    <xf numFmtId="0" fontId="0" fillId="7" borderId="0" xfId="0" quotePrefix="1" applyFill="1" applyBorder="1"/>
    <xf numFmtId="0" fontId="0" fillId="0" borderId="43" xfId="0" applyFill="1" applyBorder="1" applyAlignment="1">
      <alignment horizontal="right"/>
    </xf>
    <xf numFmtId="0" fontId="0" fillId="0" borderId="43" xfId="0" applyFill="1" applyBorder="1"/>
    <xf numFmtId="0" fontId="0" fillId="7" borderId="43" xfId="0" applyFill="1" applyBorder="1"/>
    <xf numFmtId="166" fontId="0" fillId="0" borderId="0" xfId="0" applyNumberFormat="1"/>
    <xf numFmtId="167" fontId="0" fillId="0" borderId="0" xfId="0" applyNumberFormat="1"/>
    <xf numFmtId="168" fontId="0" fillId="4" borderId="9" xfId="0" applyNumberFormat="1" applyFill="1" applyBorder="1" applyProtection="1">
      <protection locked="0"/>
    </xf>
    <xf numFmtId="168" fontId="0" fillId="4" borderId="13" xfId="0" applyNumberFormat="1" applyFill="1" applyBorder="1" applyProtection="1">
      <protection locked="0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0" fillId="0" borderId="23" xfId="3" applyFont="1" applyBorder="1" applyAlignment="1">
      <alignment horizontal="center" wrapText="1"/>
    </xf>
    <xf numFmtId="0" fontId="7" fillId="0" borderId="23" xfId="0" applyFont="1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0" fillId="4" borderId="10" xfId="0" applyFill="1" applyBorder="1" applyAlignment="1" applyProtection="1">
      <alignment horizontal="center"/>
      <protection locked="0"/>
    </xf>
    <xf numFmtId="0" fontId="0" fillId="4" borderId="14" xfId="0" applyFill="1" applyBorder="1" applyAlignment="1" applyProtection="1">
      <alignment horizontal="center"/>
      <protection locked="0"/>
    </xf>
    <xf numFmtId="11" fontId="0" fillId="4" borderId="22" xfId="0" applyNumberFormat="1" applyFill="1" applyBorder="1" applyAlignment="1" applyProtection="1">
      <alignment horizontal="center"/>
      <protection locked="0"/>
    </xf>
    <xf numFmtId="11" fontId="0" fillId="4" borderId="24" xfId="0" applyNumberFormat="1" applyFill="1" applyBorder="1" applyAlignment="1" applyProtection="1">
      <alignment horizontal="center"/>
      <protection locked="0"/>
    </xf>
    <xf numFmtId="0" fontId="4" fillId="0" borderId="0" xfId="0" applyFont="1" applyBorder="1" applyAlignment="1">
      <alignment horizontal="center"/>
    </xf>
    <xf numFmtId="164" fontId="0" fillId="3" borderId="23" xfId="2" applyNumberFormat="1" applyFont="1" applyFill="1" applyBorder="1" applyAlignment="1">
      <alignment horizontal="center"/>
    </xf>
    <xf numFmtId="164" fontId="0" fillId="3" borderId="2" xfId="2" applyNumberFormat="1" applyFont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30" xfId="0" applyFill="1" applyBorder="1" applyAlignment="1">
      <alignment horizontal="center"/>
    </xf>
    <xf numFmtId="0" fontId="0" fillId="0" borderId="0" xfId="0" applyFill="1" applyBorder="1" applyAlignment="1"/>
    <xf numFmtId="11" fontId="0" fillId="0" borderId="0" xfId="0" applyNumberFormat="1" applyFill="1" applyBorder="1" applyAlignment="1"/>
    <xf numFmtId="168" fontId="0" fillId="0" borderId="0" xfId="0" applyNumberFormat="1" applyFill="1" applyBorder="1" applyAlignment="1"/>
    <xf numFmtId="9" fontId="0" fillId="0" borderId="0" xfId="0" applyNumberFormat="1" applyFill="1" applyBorder="1" applyAlignment="1"/>
    <xf numFmtId="165" fontId="0" fillId="0" borderId="0" xfId="0" applyNumberFormat="1" applyFill="1" applyBorder="1" applyAlignment="1"/>
    <xf numFmtId="2" fontId="0" fillId="0" borderId="0" xfId="0" applyNumberFormat="1" applyFill="1" applyBorder="1" applyAlignment="1"/>
    <xf numFmtId="2" fontId="0" fillId="0" borderId="30" xfId="0" applyNumberFormat="1" applyFill="1" applyBorder="1" applyAlignment="1"/>
    <xf numFmtId="0" fontId="11" fillId="12" borderId="45" xfId="0" applyFont="1" applyFill="1" applyBorder="1" applyAlignment="1">
      <alignment horizontal="left"/>
    </xf>
    <xf numFmtId="0" fontId="11" fillId="12" borderId="44" xfId="0" applyFont="1" applyFill="1" applyBorder="1" applyAlignment="1">
      <alignment horizontal="left"/>
    </xf>
    <xf numFmtId="0" fontId="0" fillId="0" borderId="33" xfId="0" applyFill="1" applyBorder="1" applyAlignment="1"/>
    <xf numFmtId="0" fontId="12" fillId="13" borderId="0" xfId="0" applyFont="1" applyFill="1" applyBorder="1" applyAlignment="1">
      <alignment horizontal="left"/>
    </xf>
    <xf numFmtId="0" fontId="13" fillId="13" borderId="33" xfId="0" applyFont="1" applyFill="1" applyBorder="1" applyAlignment="1">
      <alignment horizontal="left"/>
    </xf>
    <xf numFmtId="0" fontId="12" fillId="13" borderId="30" xfId="0" applyFont="1" applyFill="1" applyBorder="1" applyAlignment="1">
      <alignment horizontal="left"/>
    </xf>
    <xf numFmtId="0" fontId="14" fillId="12" borderId="44" xfId="0" applyFont="1" applyFill="1" applyBorder="1" applyAlignment="1">
      <alignment horizontal="right"/>
    </xf>
    <xf numFmtId="0" fontId="14" fillId="12" borderId="45" xfId="0" applyFont="1" applyFill="1" applyBorder="1" applyAlignment="1">
      <alignment horizontal="right"/>
    </xf>
    <xf numFmtId="0" fontId="3" fillId="0" borderId="0" xfId="0" applyFont="1" applyFill="1" applyBorder="1" applyAlignment="1">
      <alignment vertical="top" wrapText="1"/>
    </xf>
    <xf numFmtId="0" fontId="0" fillId="14" borderId="0" xfId="0" applyFill="1"/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74"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5" formatCode="0.00E+00"/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 patternType="solid">
          <fgColor indexed="64"/>
          <bgColor rgb="FF92D050"/>
        </patternFill>
      </fill>
      <protection locked="0" hidden="0"/>
    </dxf>
    <dxf>
      <fill>
        <patternFill patternType="solid">
          <fgColor indexed="64"/>
          <bgColor rgb="FF92D050"/>
        </patternFill>
      </fill>
      <protection locked="0" hidden="0"/>
    </dxf>
    <dxf>
      <numFmt numFmtId="0" formatCode="General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</dxf>
    <dxf>
      <numFmt numFmtId="15" formatCode="0.00E+00"/>
      <fill>
        <patternFill patternType="solid">
          <fgColor indexed="64"/>
          <bgColor rgb="FF92D050"/>
        </patternFill>
      </fill>
      <protection locked="0" hidden="0"/>
    </dxf>
    <dxf>
      <numFmt numFmtId="15" formatCode="0.00E+00"/>
      <fill>
        <patternFill patternType="solid">
          <fgColor indexed="64"/>
          <bgColor rgb="FF92D050"/>
        </patternFill>
      </fill>
      <protection locked="0" hidden="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  <fill>
        <patternFill patternType="solid">
          <fgColor indexed="64"/>
          <bgColor rgb="FF92D050"/>
        </patternFill>
      </fill>
    </dxf>
    <dxf>
      <numFmt numFmtId="15" formatCode="0.00E+00"/>
      <fill>
        <patternFill patternType="solid">
          <fgColor indexed="64"/>
          <bgColor rgb="FF92D050"/>
        </patternFill>
      </fill>
      <protection locked="0" hidden="0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5" formatCode="0.00E+00"/>
    </dxf>
    <dxf>
      <numFmt numFmtId="15" formatCode="0.00E+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5" formatCode="0.00E+00"/>
    </dxf>
    <dxf>
      <numFmt numFmtId="15" formatCode="0.00E+00"/>
    </dxf>
    <dxf>
      <numFmt numFmtId="15" formatCode="0.00E+00"/>
    </dxf>
    <dxf>
      <numFmt numFmtId="15" formatCode="0.00E+00"/>
    </dxf>
    <dxf>
      <numFmt numFmtId="3" formatCode="#,##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SNR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8"/>
          <c:order val="18"/>
          <c:tx>
            <c:strRef>
              <c:f>Calculate!$X$1</c:f>
              <c:strCache>
                <c:ptCount val="1"/>
                <c:pt idx="0">
                  <c:v>SNRdB_us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  <c:extLst xmlns:c15="http://schemas.microsoft.com/office/drawing/2012/chart"/>
            </c:numRef>
          </c:xVal>
          <c:yVal>
            <c:numRef>
              <c:f>Calculate!$X$2:$X$201</c:f>
              <c:numCache>
                <c:formatCode>0.00</c:formatCode>
                <c:ptCount val="200"/>
                <c:pt idx="0">
                  <c:v>39.801739756551243</c:v>
                </c:pt>
                <c:pt idx="1">
                  <c:v>39.085640550660145</c:v>
                </c:pt>
                <c:pt idx="2">
                  <c:v>38.522165871538036</c:v>
                </c:pt>
                <c:pt idx="3">
                  <c:v>38.037588150327778</c:v>
                </c:pt>
                <c:pt idx="4">
                  <c:v>37.60334958385306</c:v>
                </c:pt>
                <c:pt idx="5">
                  <c:v>37.204803938484815</c:v>
                </c:pt>
                <c:pt idx="6">
                  <c:v>36.833250623676648</c:v>
                </c:pt>
                <c:pt idx="7">
                  <c:v>36.483020665617033</c:v>
                </c:pt>
                <c:pt idx="8">
                  <c:v>36.15017632251498</c:v>
                </c:pt>
                <c:pt idx="9">
                  <c:v>35.831850488315311</c:v>
                </c:pt>
                <c:pt idx="10">
                  <c:v>35.525878668411139</c:v>
                </c:pt>
                <c:pt idx="11">
                  <c:v>35.230579203925188</c:v>
                </c:pt>
                <c:pt idx="12">
                  <c:v>34.944614697316879</c:v>
                </c:pt>
                <c:pt idx="13">
                  <c:v>34.666900728732116</c:v>
                </c:pt>
                <c:pt idx="14">
                  <c:v>34.39654351716969</c:v>
                </c:pt>
                <c:pt idx="15">
                  <c:v>34.132796041672535</c:v>
                </c:pt>
                <c:pt idx="16">
                  <c:v>33.875026350864474</c:v>
                </c:pt>
                <c:pt idx="17">
                  <c:v>33.622694161823219</c:v>
                </c:pt>
                <c:pt idx="18">
                  <c:v>33.375333242831402</c:v>
                </c:pt>
                <c:pt idx="19">
                  <c:v>33.132537923192757</c:v>
                </c:pt>
                <c:pt idx="20">
                  <c:v>32.893952606549405</c:v>
                </c:pt>
                <c:pt idx="21">
                  <c:v>32.659263508717828</c:v>
                </c:pt>
                <c:pt idx="22">
                  <c:v>32.428192069121593</c:v>
                </c:pt>
                <c:pt idx="23">
                  <c:v>32.200489639220194</c:v>
                </c:pt>
                <c:pt idx="24">
                  <c:v>31.975933157866976</c:v>
                </c:pt>
                <c:pt idx="25">
                  <c:v>31.754321598285799</c:v>
                </c:pt>
                <c:pt idx="26">
                  <c:v>31.53547302481725</c:v>
                </c:pt>
                <c:pt idx="27">
                  <c:v>31.319222136179988</c:v>
                </c:pt>
                <c:pt idx="28">
                  <c:v>31.105418200407428</c:v>
                </c:pt>
                <c:pt idx="29">
                  <c:v>30.893923307806418</c:v>
                </c:pt>
                <c:pt idx="30">
                  <c:v>30.684610883938916</c:v>
                </c:pt>
                <c:pt idx="31">
                  <c:v>30.477364416941683</c:v>
                </c:pt>
                <c:pt idx="32">
                  <c:v>30.27207636252686</c:v>
                </c:pt>
                <c:pt idx="33">
                  <c:v>30.068647197245056</c:v>
                </c:pt>
                <c:pt idx="34">
                  <c:v>29.866984596244649</c:v>
                </c:pt>
                <c:pt idx="35">
                  <c:v>29.667002716013727</c:v>
                </c:pt>
                <c:pt idx="36">
                  <c:v>29.468621566218161</c:v>
                </c:pt>
                <c:pt idx="37">
                  <c:v>29.271766457445437</c:v>
                </c:pt>
                <c:pt idx="38">
                  <c:v>29.07636751396123</c:v>
                </c:pt>
                <c:pt idx="39">
                  <c:v>28.882359242300808</c:v>
                </c:pt>
                <c:pt idx="40">
                  <c:v>28.689680148144063</c:v>
                </c:pt>
                <c:pt idx="41">
                  <c:v>28.49827239499092</c:v>
                </c:pt>
                <c:pt idx="42">
                  <c:v>28.308081499138481</c:v>
                </c:pt>
                <c:pt idx="43">
                  <c:v>28.1190560564865</c:v>
                </c:pt>
                <c:pt idx="44">
                  <c:v>27.93114749703642</c:v>
                </c:pt>
                <c:pt idx="45">
                  <c:v>27.744309863859243</c:v>
                </c:pt>
                <c:pt idx="46">
                  <c:v>27.558499613541755</c:v>
                </c:pt>
                <c:pt idx="47">
                  <c:v>27.373675435632848</c:v>
                </c:pt>
                <c:pt idx="48">
                  <c:v>27.189798088923752</c:v>
                </c:pt>
                <c:pt idx="49">
                  <c:v>27.006830252680388</c:v>
                </c:pt>
                <c:pt idx="50">
                  <c:v>26.824736391186548</c:v>
                </c:pt>
                <c:pt idx="51">
                  <c:v>26.643482630186469</c:v>
                </c:pt>
                <c:pt idx="52">
                  <c:v>26.463036643934444</c:v>
                </c:pt>
                <c:pt idx="53">
                  <c:v>26.283367551789752</c:v>
                </c:pt>
                <c:pt idx="54">
                  <c:v>26.104445823409577</c:v>
                </c:pt>
                <c:pt idx="55">
                  <c:v>25.926243191582387</c:v>
                </c:pt>
                <c:pt idx="56">
                  <c:v>25.748732572076122</c:v>
                </c:pt>
                <c:pt idx="57">
                  <c:v>25.571887989795542</c:v>
                </c:pt>
                <c:pt idx="58">
                  <c:v>25.395684510554361</c:v>
                </c:pt>
                <c:pt idx="59">
                  <c:v>25.220098178099576</c:v>
                </c:pt>
                <c:pt idx="60">
                  <c:v>25.045105955750756</c:v>
                </c:pt>
                <c:pt idx="61">
                  <c:v>24.870685672400057</c:v>
                </c:pt>
                <c:pt idx="62">
                  <c:v>24.696815972316273</c:v>
                </c:pt>
                <c:pt idx="63">
                  <c:v>24.523476268554646</c:v>
                </c:pt>
                <c:pt idx="64">
                  <c:v>24.3506466996391</c:v>
                </c:pt>
                <c:pt idx="65">
                  <c:v>24.178308089133026</c:v>
                </c:pt>
                <c:pt idx="66">
                  <c:v>24.006441908042646</c:v>
                </c:pt>
                <c:pt idx="67">
                  <c:v>23.835030239652198</c:v>
                </c:pt>
                <c:pt idx="68">
                  <c:v>23.664055746702175</c:v>
                </c:pt>
                <c:pt idx="69">
                  <c:v>23.493501640643302</c:v>
                </c:pt>
                <c:pt idx="70">
                  <c:v>23.323351652909736</c:v>
                </c:pt>
                <c:pt idx="71">
                  <c:v>23.153590007920926</c:v>
                </c:pt>
                <c:pt idx="72">
                  <c:v>22.984201397791225</c:v>
                </c:pt>
                <c:pt idx="73">
                  <c:v>22.815170958590699</c:v>
                </c:pt>
                <c:pt idx="74">
                  <c:v>22.646484247981476</c:v>
                </c:pt>
                <c:pt idx="75">
                  <c:v>22.478127224195674</c:v>
                </c:pt>
                <c:pt idx="76">
                  <c:v>22.310086226286131</c:v>
                </c:pt>
                <c:pt idx="77">
                  <c:v>22.14234795542653</c:v>
                </c:pt>
                <c:pt idx="78">
                  <c:v>21.974899457320248</c:v>
                </c:pt>
                <c:pt idx="79">
                  <c:v>21.807728105590016</c:v>
                </c:pt>
                <c:pt idx="80">
                  <c:v>21.640821586091576</c:v>
                </c:pt>
                <c:pt idx="81">
                  <c:v>21.474167882021192</c:v>
                </c:pt>
                <c:pt idx="82">
                  <c:v>21.307755259887756</c:v>
                </c:pt>
                <c:pt idx="83">
                  <c:v>21.141572256206516</c:v>
                </c:pt>
                <c:pt idx="84">
                  <c:v>20.975607664838236</c:v>
                </c:pt>
                <c:pt idx="85">
                  <c:v>20.809850525075461</c:v>
                </c:pt>
                <c:pt idx="86">
                  <c:v>20.644290110198966</c:v>
                </c:pt>
                <c:pt idx="87">
                  <c:v>20.478915916745521</c:v>
                </c:pt>
                <c:pt idx="88">
                  <c:v>20.31371765418379</c:v>
                </c:pt>
                <c:pt idx="89">
                  <c:v>20.148685235184089</c:v>
                </c:pt>
                <c:pt idx="90">
                  <c:v>19.983808766279864</c:v>
                </c:pt>
                <c:pt idx="91">
                  <c:v>19.819078539009013</c:v>
                </c:pt>
                <c:pt idx="92">
                  <c:v>19.65448502146721</c:v>
                </c:pt>
                <c:pt idx="93">
                  <c:v>19.490018850243089</c:v>
                </c:pt>
                <c:pt idx="94">
                  <c:v>19.325670822656491</c:v>
                </c:pt>
                <c:pt idx="95">
                  <c:v>19.161431889469966</c:v>
                </c:pt>
                <c:pt idx="96">
                  <c:v>18.997293147799184</c:v>
                </c:pt>
                <c:pt idx="97">
                  <c:v>18.83324583437998</c:v>
                </c:pt>
                <c:pt idx="98">
                  <c:v>18.669281319104769</c:v>
                </c:pt>
                <c:pt idx="99">
                  <c:v>18.505391098842523</c:v>
                </c:pt>
                <c:pt idx="100">
                  <c:v>18.341566791508569</c:v>
                </c:pt>
                <c:pt idx="101">
                  <c:v>18.177800130343073</c:v>
                </c:pt>
                <c:pt idx="102">
                  <c:v>18.014082958470766</c:v>
                </c:pt>
                <c:pt idx="103">
                  <c:v>17.850407223609892</c:v>
                </c:pt>
                <c:pt idx="104">
                  <c:v>17.686764973029113</c:v>
                </c:pt>
                <c:pt idx="105">
                  <c:v>17.523148348659646</c:v>
                </c:pt>
                <c:pt idx="106">
                  <c:v>17.359549582425245</c:v>
                </c:pt>
                <c:pt idx="107">
                  <c:v>17.195960991694562</c:v>
                </c:pt>
                <c:pt idx="108">
                  <c:v>17.032374974912429</c:v>
                </c:pt>
                <c:pt idx="109">
                  <c:v>16.868784007371232</c:v>
                </c:pt>
                <c:pt idx="110">
                  <c:v>16.705180637176781</c:v>
                </c:pt>
                <c:pt idx="111">
                  <c:v>16.541557481232104</c:v>
                </c:pt>
                <c:pt idx="112">
                  <c:v>16.377907221516935</c:v>
                </c:pt>
                <c:pt idx="113">
                  <c:v>16.214222601261056</c:v>
                </c:pt>
                <c:pt idx="114">
                  <c:v>16.050496421452948</c:v>
                </c:pt>
                <c:pt idx="115">
                  <c:v>15.886721537302066</c:v>
                </c:pt>
                <c:pt idx="116">
                  <c:v>15.722890854893521</c:v>
                </c:pt>
                <c:pt idx="117">
                  <c:v>15.558997327829758</c:v>
                </c:pt>
                <c:pt idx="118">
                  <c:v>15.395033954100825</c:v>
                </c:pt>
                <c:pt idx="119">
                  <c:v>15.230993772886507</c:v>
                </c:pt>
                <c:pt idx="120">
                  <c:v>15.066869861548625</c:v>
                </c:pt>
                <c:pt idx="121">
                  <c:v>14.902655332664366</c:v>
                </c:pt>
                <c:pt idx="122">
                  <c:v>14.738343331073111</c:v>
                </c:pt>
                <c:pt idx="123">
                  <c:v>14.573927031060435</c:v>
                </c:pt>
                <c:pt idx="124">
                  <c:v>14.409399633573003</c:v>
                </c:pt>
                <c:pt idx="125">
                  <c:v>14.244754363452145</c:v>
                </c:pt>
                <c:pt idx="126">
                  <c:v>14.079984466794059</c:v>
                </c:pt>
                <c:pt idx="127">
                  <c:v>13.915083208260739</c:v>
                </c:pt>
                <c:pt idx="128">
                  <c:v>13.75004386854188</c:v>
                </c:pt>
                <c:pt idx="129">
                  <c:v>13.584859741750591</c:v>
                </c:pt>
                <c:pt idx="130">
                  <c:v>13.419524132911832</c:v>
                </c:pt>
                <c:pt idx="131">
                  <c:v>13.254030355503033</c:v>
                </c:pt>
                <c:pt idx="132">
                  <c:v>13.088371728955153</c:v>
                </c:pt>
                <c:pt idx="133">
                  <c:v>12.922541576229619</c:v>
                </c:pt>
                <c:pt idx="134">
                  <c:v>12.756533221415154</c:v>
                </c:pt>
                <c:pt idx="135">
                  <c:v>12.590339987344024</c:v>
                </c:pt>
                <c:pt idx="136">
                  <c:v>12.423955193169576</c:v>
                </c:pt>
                <c:pt idx="137">
                  <c:v>12.257372152055538</c:v>
                </c:pt>
                <c:pt idx="138">
                  <c:v>12.090584168768132</c:v>
                </c:pt>
                <c:pt idx="139">
                  <c:v>11.923584537383022</c:v>
                </c:pt>
                <c:pt idx="140">
                  <c:v>11.756366538893928</c:v>
                </c:pt>
                <c:pt idx="141">
                  <c:v>11.588923438900991</c:v>
                </c:pt>
                <c:pt idx="142">
                  <c:v>11.421248485265139</c:v>
                </c:pt>
                <c:pt idx="143">
                  <c:v>11.253334905734334</c:v>
                </c:pt>
                <c:pt idx="144">
                  <c:v>11.085175905614932</c:v>
                </c:pt>
                <c:pt idx="145">
                  <c:v>10.916764665403235</c:v>
                </c:pt>
                <c:pt idx="146">
                  <c:v>10.748094338382288</c:v>
                </c:pt>
                <c:pt idx="147">
                  <c:v>10.579158048276554</c:v>
                </c:pt>
                <c:pt idx="148">
                  <c:v>10.409948886771332</c:v>
                </c:pt>
                <c:pt idx="149">
                  <c:v>10.240459911140107</c:v>
                </c:pt>
                <c:pt idx="150">
                  <c:v>10.070684141761944</c:v>
                </c:pt>
                <c:pt idx="151">
                  <c:v>9.900614559614155</c:v>
                </c:pt>
                <c:pt idx="152">
                  <c:v>9.7302441037749077</c:v>
                </c:pt>
                <c:pt idx="153">
                  <c:v>9.5595656688894906</c:v>
                </c:pt>
                <c:pt idx="154">
                  <c:v>9.3885721025377791</c:v>
                </c:pt>
                <c:pt idx="155">
                  <c:v>9.2172562026334788</c:v>
                </c:pt>
                <c:pt idx="156">
                  <c:v>9.0456107147574869</c:v>
                </c:pt>
                <c:pt idx="157">
                  <c:v>8.8736283294045961</c:v>
                </c:pt>
                <c:pt idx="158">
                  <c:v>8.7013016792708413</c:v>
                </c:pt>
                <c:pt idx="159">
                  <c:v>8.5286233363555937</c:v>
                </c:pt>
                <c:pt idx="160">
                  <c:v>8.3555858091515915</c:v>
                </c:pt>
                <c:pt idx="161">
                  <c:v>8.1821815396396858</c:v>
                </c:pt>
                <c:pt idx="162">
                  <c:v>8.0084029003560318</c:v>
                </c:pt>
                <c:pt idx="163">
                  <c:v>7.8342421912266502</c:v>
                </c:pt>
                <c:pt idx="164">
                  <c:v>7.6596916364811989</c:v>
                </c:pt>
                <c:pt idx="165">
                  <c:v>7.4847433814203725</c:v>
                </c:pt>
                <c:pt idx="166">
                  <c:v>7.3093894890598961</c:v>
                </c:pt>
                <c:pt idx="167">
                  <c:v>7.1336219367882165</c:v>
                </c:pt>
                <c:pt idx="168">
                  <c:v>6.9574326128454231</c:v>
                </c:pt>
                <c:pt idx="169">
                  <c:v>6.780813312742481</c:v>
                </c:pt>
                <c:pt idx="170">
                  <c:v>6.6037557356036132</c:v>
                </c:pt>
                <c:pt idx="171">
                  <c:v>6.4262514803185127</c:v>
                </c:pt>
                <c:pt idx="172">
                  <c:v>6.2482920416980789</c:v>
                </c:pt>
                <c:pt idx="173">
                  <c:v>6.0698688063895361</c:v>
                </c:pt>
                <c:pt idx="174">
                  <c:v>5.890973048778875</c:v>
                </c:pt>
                <c:pt idx="175">
                  <c:v>5.7115959266828611</c:v>
                </c:pt>
                <c:pt idx="176">
                  <c:v>5.5317284769384969</c:v>
                </c:pt>
                <c:pt idx="177">
                  <c:v>5.3513616108240001</c:v>
                </c:pt>
                <c:pt idx="178">
                  <c:v>5.1704861093831198</c:v>
                </c:pt>
                <c:pt idx="179">
                  <c:v>4.9890926185059925</c:v>
                </c:pt>
                <c:pt idx="180">
                  <c:v>4.8071716439253578</c:v>
                </c:pt>
                <c:pt idx="181">
                  <c:v>4.6247135459592243</c:v>
                </c:pt>
                <c:pt idx="182">
                  <c:v>4.4417085341326015</c:v>
                </c:pt>
                <c:pt idx="183">
                  <c:v>4.2581466615903878</c:v>
                </c:pt>
                <c:pt idx="184">
                  <c:v>4.074017819261428</c:v>
                </c:pt>
                <c:pt idx="185">
                  <c:v>3.8893117298661934</c:v>
                </c:pt>
                <c:pt idx="186">
                  <c:v>3.7040179416561614</c:v>
                </c:pt>
                <c:pt idx="187">
                  <c:v>3.5181258219579661</c:v>
                </c:pt>
                <c:pt idx="188">
                  <c:v>3.3316245504152562</c:v>
                </c:pt>
                <c:pt idx="189">
                  <c:v>3.1445031120342151</c:v>
                </c:pt>
                <c:pt idx="190">
                  <c:v>2.9567502898788405</c:v>
                </c:pt>
                <c:pt idx="191">
                  <c:v>2.768354657545359</c:v>
                </c:pt>
                <c:pt idx="192">
                  <c:v>2.5793045712765661</c:v>
                </c:pt>
                <c:pt idx="193">
                  <c:v>2.3895881618231272</c:v>
                </c:pt>
                <c:pt idx="194">
                  <c:v>2.199193325876081</c:v>
                </c:pt>
                <c:pt idx="195">
                  <c:v>2.0081077172390565</c:v>
                </c:pt>
                <c:pt idx="196">
                  <c:v>1.8163187375450036</c:v>
                </c:pt>
                <c:pt idx="197">
                  <c:v>1.6238135266605127</c:v>
                </c:pt>
                <c:pt idx="198">
                  <c:v>1.4305789526017918</c:v>
                </c:pt>
                <c:pt idx="199">
                  <c:v>1.2366016010419116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0-6D5A-4CEC-B44E-05B894795906}"/>
            </c:ext>
          </c:extLst>
        </c:ser>
        <c:ser>
          <c:idx val="19"/>
          <c:order val="19"/>
          <c:tx>
            <c:strRef>
              <c:f>Calculate!$Y$1</c:f>
              <c:strCache>
                <c:ptCount val="1"/>
                <c:pt idx="0">
                  <c:v>SNRdB_ds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  <c:extLst xmlns:c15="http://schemas.microsoft.com/office/drawing/2012/chart"/>
            </c:numRef>
          </c:xVal>
          <c:yVal>
            <c:numRef>
              <c:f>Calculate!$Y$2:$Y$201</c:f>
              <c:numCache>
                <c:formatCode>0.00</c:formatCode>
                <c:ptCount val="200"/>
                <c:pt idx="0">
                  <c:v>39.801739756551243</c:v>
                </c:pt>
                <c:pt idx="1">
                  <c:v>39.085640550660145</c:v>
                </c:pt>
                <c:pt idx="2">
                  <c:v>38.522165871538036</c:v>
                </c:pt>
                <c:pt idx="3">
                  <c:v>38.037588150327778</c:v>
                </c:pt>
                <c:pt idx="4">
                  <c:v>37.60334958385306</c:v>
                </c:pt>
                <c:pt idx="5">
                  <c:v>37.204803938484815</c:v>
                </c:pt>
                <c:pt idx="6">
                  <c:v>36.833250623676648</c:v>
                </c:pt>
                <c:pt idx="7">
                  <c:v>36.483020665617033</c:v>
                </c:pt>
                <c:pt idx="8">
                  <c:v>36.15017632251498</c:v>
                </c:pt>
                <c:pt idx="9">
                  <c:v>35.831850488315311</c:v>
                </c:pt>
                <c:pt idx="10">
                  <c:v>35.525878668411139</c:v>
                </c:pt>
                <c:pt idx="11">
                  <c:v>35.230579203925188</c:v>
                </c:pt>
                <c:pt idx="12">
                  <c:v>34.944614697316879</c:v>
                </c:pt>
                <c:pt idx="13">
                  <c:v>34.666900728732116</c:v>
                </c:pt>
                <c:pt idx="14">
                  <c:v>34.39654351716969</c:v>
                </c:pt>
                <c:pt idx="15">
                  <c:v>34.132796041672535</c:v>
                </c:pt>
                <c:pt idx="16">
                  <c:v>33.875026350864474</c:v>
                </c:pt>
                <c:pt idx="17">
                  <c:v>33.622694161823219</c:v>
                </c:pt>
                <c:pt idx="18">
                  <c:v>33.375333242831402</c:v>
                </c:pt>
                <c:pt idx="19">
                  <c:v>33.132537923192757</c:v>
                </c:pt>
                <c:pt idx="20">
                  <c:v>32.893952606549405</c:v>
                </c:pt>
                <c:pt idx="21">
                  <c:v>32.659263508717828</c:v>
                </c:pt>
                <c:pt idx="22">
                  <c:v>32.428192069121593</c:v>
                </c:pt>
                <c:pt idx="23">
                  <c:v>32.200489639220194</c:v>
                </c:pt>
                <c:pt idx="24">
                  <c:v>31.975933157866976</c:v>
                </c:pt>
                <c:pt idx="25">
                  <c:v>31.754321598285799</c:v>
                </c:pt>
                <c:pt idx="26">
                  <c:v>31.53547302481725</c:v>
                </c:pt>
                <c:pt idx="27">
                  <c:v>31.319222136179988</c:v>
                </c:pt>
                <c:pt idx="28">
                  <c:v>31.105418200407428</c:v>
                </c:pt>
                <c:pt idx="29">
                  <c:v>30.893923307806418</c:v>
                </c:pt>
                <c:pt idx="30">
                  <c:v>30.684610883938916</c:v>
                </c:pt>
                <c:pt idx="31">
                  <c:v>30.477364416941683</c:v>
                </c:pt>
                <c:pt idx="32">
                  <c:v>30.27207636252686</c:v>
                </c:pt>
                <c:pt idx="33">
                  <c:v>30.068647197245056</c:v>
                </c:pt>
                <c:pt idx="34">
                  <c:v>29.866984596244649</c:v>
                </c:pt>
                <c:pt idx="35">
                  <c:v>29.667002716013727</c:v>
                </c:pt>
                <c:pt idx="36">
                  <c:v>29.468621566218161</c:v>
                </c:pt>
                <c:pt idx="37">
                  <c:v>29.271766457445437</c:v>
                </c:pt>
                <c:pt idx="38">
                  <c:v>29.07636751396123</c:v>
                </c:pt>
                <c:pt idx="39">
                  <c:v>28.882359242300808</c:v>
                </c:pt>
                <c:pt idx="40">
                  <c:v>28.689680148144063</c:v>
                </c:pt>
                <c:pt idx="41">
                  <c:v>28.49827239499092</c:v>
                </c:pt>
                <c:pt idx="42">
                  <c:v>28.308081499138481</c:v>
                </c:pt>
                <c:pt idx="43">
                  <c:v>28.1190560564865</c:v>
                </c:pt>
                <c:pt idx="44">
                  <c:v>27.93114749703642</c:v>
                </c:pt>
                <c:pt idx="45">
                  <c:v>27.744309863859243</c:v>
                </c:pt>
                <c:pt idx="46">
                  <c:v>27.558499613541755</c:v>
                </c:pt>
                <c:pt idx="47">
                  <c:v>27.373675435632848</c:v>
                </c:pt>
                <c:pt idx="48">
                  <c:v>27.189798088923752</c:v>
                </c:pt>
                <c:pt idx="49">
                  <c:v>27.006830252680388</c:v>
                </c:pt>
                <c:pt idx="50">
                  <c:v>26.824736391186548</c:v>
                </c:pt>
                <c:pt idx="51">
                  <c:v>26.643482630186469</c:v>
                </c:pt>
                <c:pt idx="52">
                  <c:v>26.463036643934444</c:v>
                </c:pt>
                <c:pt idx="53">
                  <c:v>26.283367551789752</c:v>
                </c:pt>
                <c:pt idx="54">
                  <c:v>26.104445823409577</c:v>
                </c:pt>
                <c:pt idx="55">
                  <c:v>25.926243191582387</c:v>
                </c:pt>
                <c:pt idx="56">
                  <c:v>25.748732572076122</c:v>
                </c:pt>
                <c:pt idx="57">
                  <c:v>25.571887989795542</c:v>
                </c:pt>
                <c:pt idx="58">
                  <c:v>25.395684510554361</c:v>
                </c:pt>
                <c:pt idx="59">
                  <c:v>25.220098178099576</c:v>
                </c:pt>
                <c:pt idx="60">
                  <c:v>25.045105955750756</c:v>
                </c:pt>
                <c:pt idx="61">
                  <c:v>24.870685672400057</c:v>
                </c:pt>
                <c:pt idx="62">
                  <c:v>24.696815972316273</c:v>
                </c:pt>
                <c:pt idx="63">
                  <c:v>24.523476268554646</c:v>
                </c:pt>
                <c:pt idx="64">
                  <c:v>24.3506466996391</c:v>
                </c:pt>
                <c:pt idx="65">
                  <c:v>24.178308089133026</c:v>
                </c:pt>
                <c:pt idx="66">
                  <c:v>24.006441908042646</c:v>
                </c:pt>
                <c:pt idx="67">
                  <c:v>23.835030239652198</c:v>
                </c:pt>
                <c:pt idx="68">
                  <c:v>23.664055746702175</c:v>
                </c:pt>
                <c:pt idx="69">
                  <c:v>23.493501640643302</c:v>
                </c:pt>
                <c:pt idx="70">
                  <c:v>23.323351652909736</c:v>
                </c:pt>
                <c:pt idx="71">
                  <c:v>23.153590007920926</c:v>
                </c:pt>
                <c:pt idx="72">
                  <c:v>22.984201397791225</c:v>
                </c:pt>
                <c:pt idx="73">
                  <c:v>22.815170958590699</c:v>
                </c:pt>
                <c:pt idx="74">
                  <c:v>22.646484247981476</c:v>
                </c:pt>
                <c:pt idx="75">
                  <c:v>22.478127224195674</c:v>
                </c:pt>
                <c:pt idx="76">
                  <c:v>22.310086226286131</c:v>
                </c:pt>
                <c:pt idx="77">
                  <c:v>22.14234795542653</c:v>
                </c:pt>
                <c:pt idx="78">
                  <c:v>21.974899457320248</c:v>
                </c:pt>
                <c:pt idx="79">
                  <c:v>21.807728105590016</c:v>
                </c:pt>
                <c:pt idx="80">
                  <c:v>21.640821586091576</c:v>
                </c:pt>
                <c:pt idx="81">
                  <c:v>21.474167882021192</c:v>
                </c:pt>
                <c:pt idx="82">
                  <c:v>21.307755259887756</c:v>
                </c:pt>
                <c:pt idx="83">
                  <c:v>21.141572256206516</c:v>
                </c:pt>
                <c:pt idx="84">
                  <c:v>20.975607664838236</c:v>
                </c:pt>
                <c:pt idx="85">
                  <c:v>20.809850525075461</c:v>
                </c:pt>
                <c:pt idx="86">
                  <c:v>20.644290110198966</c:v>
                </c:pt>
                <c:pt idx="87">
                  <c:v>20.478915916745521</c:v>
                </c:pt>
                <c:pt idx="88">
                  <c:v>20.31371765418379</c:v>
                </c:pt>
                <c:pt idx="89">
                  <c:v>20.148685235184089</c:v>
                </c:pt>
                <c:pt idx="90">
                  <c:v>19.983808766279864</c:v>
                </c:pt>
                <c:pt idx="91">
                  <c:v>19.819078539009013</c:v>
                </c:pt>
                <c:pt idx="92">
                  <c:v>19.65448502146721</c:v>
                </c:pt>
                <c:pt idx="93">
                  <c:v>19.490018850243089</c:v>
                </c:pt>
                <c:pt idx="94">
                  <c:v>19.325670822656491</c:v>
                </c:pt>
                <c:pt idx="95">
                  <c:v>19.161431889469966</c:v>
                </c:pt>
                <c:pt idx="96">
                  <c:v>18.997293147799184</c:v>
                </c:pt>
                <c:pt idx="97">
                  <c:v>18.83324583437998</c:v>
                </c:pt>
                <c:pt idx="98">
                  <c:v>18.669281319104769</c:v>
                </c:pt>
                <c:pt idx="99">
                  <c:v>18.505391098842523</c:v>
                </c:pt>
                <c:pt idx="100">
                  <c:v>18.341566791508569</c:v>
                </c:pt>
                <c:pt idx="101">
                  <c:v>18.177800130343073</c:v>
                </c:pt>
                <c:pt idx="102">
                  <c:v>18.014082958470766</c:v>
                </c:pt>
                <c:pt idx="103">
                  <c:v>17.850407223609892</c:v>
                </c:pt>
                <c:pt idx="104">
                  <c:v>17.686764973029113</c:v>
                </c:pt>
                <c:pt idx="105">
                  <c:v>17.523148348659646</c:v>
                </c:pt>
                <c:pt idx="106">
                  <c:v>17.359549582425245</c:v>
                </c:pt>
                <c:pt idx="107">
                  <c:v>17.195960991694562</c:v>
                </c:pt>
                <c:pt idx="108">
                  <c:v>17.032374974912429</c:v>
                </c:pt>
                <c:pt idx="109">
                  <c:v>16.868784007371232</c:v>
                </c:pt>
                <c:pt idx="110">
                  <c:v>16.705180637176781</c:v>
                </c:pt>
                <c:pt idx="111">
                  <c:v>16.541557481232104</c:v>
                </c:pt>
                <c:pt idx="112">
                  <c:v>16.377907221516935</c:v>
                </c:pt>
                <c:pt idx="113">
                  <c:v>16.214222601261056</c:v>
                </c:pt>
                <c:pt idx="114">
                  <c:v>16.050496421452948</c:v>
                </c:pt>
                <c:pt idx="115">
                  <c:v>15.886721537302066</c:v>
                </c:pt>
                <c:pt idx="116">
                  <c:v>15.722890854893521</c:v>
                </c:pt>
                <c:pt idx="117">
                  <c:v>15.558997327829758</c:v>
                </c:pt>
                <c:pt idx="118">
                  <c:v>15.395033954100825</c:v>
                </c:pt>
                <c:pt idx="119">
                  <c:v>15.230993772886507</c:v>
                </c:pt>
                <c:pt idx="120">
                  <c:v>15.066869861548625</c:v>
                </c:pt>
                <c:pt idx="121">
                  <c:v>14.902655332664366</c:v>
                </c:pt>
                <c:pt idx="122">
                  <c:v>14.738343331073111</c:v>
                </c:pt>
                <c:pt idx="123">
                  <c:v>14.573927031060435</c:v>
                </c:pt>
                <c:pt idx="124">
                  <c:v>14.409399633573003</c:v>
                </c:pt>
                <c:pt idx="125">
                  <c:v>14.244754363452145</c:v>
                </c:pt>
                <c:pt idx="126">
                  <c:v>14.079984466794059</c:v>
                </c:pt>
                <c:pt idx="127">
                  <c:v>13.915083208260739</c:v>
                </c:pt>
                <c:pt idx="128">
                  <c:v>13.75004386854188</c:v>
                </c:pt>
                <c:pt idx="129">
                  <c:v>13.584859741750591</c:v>
                </c:pt>
                <c:pt idx="130">
                  <c:v>13.419524132911832</c:v>
                </c:pt>
                <c:pt idx="131">
                  <c:v>13.254030355503033</c:v>
                </c:pt>
                <c:pt idx="132">
                  <c:v>13.088371728955153</c:v>
                </c:pt>
                <c:pt idx="133">
                  <c:v>12.922541576229619</c:v>
                </c:pt>
                <c:pt idx="134">
                  <c:v>12.756533221415154</c:v>
                </c:pt>
                <c:pt idx="135">
                  <c:v>12.590339987344024</c:v>
                </c:pt>
                <c:pt idx="136">
                  <c:v>12.423955193169576</c:v>
                </c:pt>
                <c:pt idx="137">
                  <c:v>12.257372152055538</c:v>
                </c:pt>
                <c:pt idx="138">
                  <c:v>12.090584168768132</c:v>
                </c:pt>
                <c:pt idx="139">
                  <c:v>11.923584537383022</c:v>
                </c:pt>
                <c:pt idx="140">
                  <c:v>11.756366538893928</c:v>
                </c:pt>
                <c:pt idx="141">
                  <c:v>11.588923438900991</c:v>
                </c:pt>
                <c:pt idx="142">
                  <c:v>11.421248485265139</c:v>
                </c:pt>
                <c:pt idx="143">
                  <c:v>11.253334905734334</c:v>
                </c:pt>
                <c:pt idx="144">
                  <c:v>11.085175905614932</c:v>
                </c:pt>
                <c:pt idx="145">
                  <c:v>10.916764665403235</c:v>
                </c:pt>
                <c:pt idx="146">
                  <c:v>10.748094338382288</c:v>
                </c:pt>
                <c:pt idx="147">
                  <c:v>10.579158048276554</c:v>
                </c:pt>
                <c:pt idx="148">
                  <c:v>10.409948886771332</c:v>
                </c:pt>
                <c:pt idx="149">
                  <c:v>10.240459911140107</c:v>
                </c:pt>
                <c:pt idx="150">
                  <c:v>10.070684141761944</c:v>
                </c:pt>
                <c:pt idx="151">
                  <c:v>9.900614559614155</c:v>
                </c:pt>
                <c:pt idx="152">
                  <c:v>9.7302441037749077</c:v>
                </c:pt>
                <c:pt idx="153">
                  <c:v>9.5595656688894906</c:v>
                </c:pt>
                <c:pt idx="154">
                  <c:v>9.3885721025377791</c:v>
                </c:pt>
                <c:pt idx="155">
                  <c:v>9.2172562026334788</c:v>
                </c:pt>
                <c:pt idx="156">
                  <c:v>9.0456107147574869</c:v>
                </c:pt>
                <c:pt idx="157">
                  <c:v>8.8736283294045961</c:v>
                </c:pt>
                <c:pt idx="158">
                  <c:v>8.7013016792708413</c:v>
                </c:pt>
                <c:pt idx="159">
                  <c:v>8.5286233363555937</c:v>
                </c:pt>
                <c:pt idx="160">
                  <c:v>8.3555858091515915</c:v>
                </c:pt>
                <c:pt idx="161">
                  <c:v>8.1821815396396858</c:v>
                </c:pt>
                <c:pt idx="162">
                  <c:v>8.0084029003560318</c:v>
                </c:pt>
                <c:pt idx="163">
                  <c:v>7.8342421912266502</c:v>
                </c:pt>
                <c:pt idx="164">
                  <c:v>7.6596916364811989</c:v>
                </c:pt>
                <c:pt idx="165">
                  <c:v>7.4847433814203725</c:v>
                </c:pt>
                <c:pt idx="166">
                  <c:v>7.3093894890598961</c:v>
                </c:pt>
                <c:pt idx="167">
                  <c:v>7.1336219367882165</c:v>
                </c:pt>
                <c:pt idx="168">
                  <c:v>6.9574326128454231</c:v>
                </c:pt>
                <c:pt idx="169">
                  <c:v>6.780813312742481</c:v>
                </c:pt>
                <c:pt idx="170">
                  <c:v>6.6037557356036132</c:v>
                </c:pt>
                <c:pt idx="171">
                  <c:v>6.4262514803185127</c:v>
                </c:pt>
                <c:pt idx="172">
                  <c:v>6.2482920416980789</c:v>
                </c:pt>
                <c:pt idx="173">
                  <c:v>6.0698688063895361</c:v>
                </c:pt>
                <c:pt idx="174">
                  <c:v>5.890973048778875</c:v>
                </c:pt>
                <c:pt idx="175">
                  <c:v>5.7115959266828611</c:v>
                </c:pt>
                <c:pt idx="176">
                  <c:v>5.5317284769384969</c:v>
                </c:pt>
                <c:pt idx="177">
                  <c:v>5.3513616108240001</c:v>
                </c:pt>
                <c:pt idx="178">
                  <c:v>5.1704861093831198</c:v>
                </c:pt>
                <c:pt idx="179">
                  <c:v>4.9890926185059925</c:v>
                </c:pt>
                <c:pt idx="180">
                  <c:v>4.8071716439253578</c:v>
                </c:pt>
                <c:pt idx="181">
                  <c:v>4.6247135459592243</c:v>
                </c:pt>
                <c:pt idx="182">
                  <c:v>4.4417085341326015</c:v>
                </c:pt>
                <c:pt idx="183">
                  <c:v>4.2581466615903878</c:v>
                </c:pt>
                <c:pt idx="184">
                  <c:v>4.074017819261428</c:v>
                </c:pt>
                <c:pt idx="185">
                  <c:v>3.8893117298661934</c:v>
                </c:pt>
                <c:pt idx="186">
                  <c:v>3.7040179416561614</c:v>
                </c:pt>
                <c:pt idx="187">
                  <c:v>3.5181258219579661</c:v>
                </c:pt>
                <c:pt idx="188">
                  <c:v>3.3316245504152562</c:v>
                </c:pt>
                <c:pt idx="189">
                  <c:v>3.1445031120342151</c:v>
                </c:pt>
                <c:pt idx="190">
                  <c:v>2.9567502898788405</c:v>
                </c:pt>
                <c:pt idx="191">
                  <c:v>2.768354657545359</c:v>
                </c:pt>
                <c:pt idx="192">
                  <c:v>2.5793045712765661</c:v>
                </c:pt>
                <c:pt idx="193">
                  <c:v>2.3895881618231272</c:v>
                </c:pt>
                <c:pt idx="194">
                  <c:v>2.199193325876081</c:v>
                </c:pt>
                <c:pt idx="195">
                  <c:v>2.0081077172390565</c:v>
                </c:pt>
                <c:pt idx="196">
                  <c:v>1.8163187375450036</c:v>
                </c:pt>
                <c:pt idx="197">
                  <c:v>1.6238135266605127</c:v>
                </c:pt>
                <c:pt idx="198">
                  <c:v>1.4305789526017918</c:v>
                </c:pt>
                <c:pt idx="199">
                  <c:v>1.2366016010419116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1-6D5A-4CEC-B44E-05B894795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522992"/>
        <c:axId val="93252758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Calculate!$B$1</c15:sqref>
                        </c15:formulaRef>
                      </c:ext>
                    </c:extLst>
                    <c:strCache>
                      <c:ptCount val="1"/>
                      <c:pt idx="0">
                        <c:v>dF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Calculate!$B$2:$B$201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45000000</c:v>
                      </c:pt>
                      <c:pt idx="1">
                        <c:v>45000000</c:v>
                      </c:pt>
                      <c:pt idx="2">
                        <c:v>45000000</c:v>
                      </c:pt>
                      <c:pt idx="3">
                        <c:v>45000000</c:v>
                      </c:pt>
                      <c:pt idx="4">
                        <c:v>45000000</c:v>
                      </c:pt>
                      <c:pt idx="5">
                        <c:v>45000000</c:v>
                      </c:pt>
                      <c:pt idx="6">
                        <c:v>45000000</c:v>
                      </c:pt>
                      <c:pt idx="7">
                        <c:v>45000000</c:v>
                      </c:pt>
                      <c:pt idx="8">
                        <c:v>45000000</c:v>
                      </c:pt>
                      <c:pt idx="9">
                        <c:v>45000000</c:v>
                      </c:pt>
                      <c:pt idx="10">
                        <c:v>45000000</c:v>
                      </c:pt>
                      <c:pt idx="11">
                        <c:v>45000000</c:v>
                      </c:pt>
                      <c:pt idx="12">
                        <c:v>45000000</c:v>
                      </c:pt>
                      <c:pt idx="13">
                        <c:v>45000000</c:v>
                      </c:pt>
                      <c:pt idx="14">
                        <c:v>45000000</c:v>
                      </c:pt>
                      <c:pt idx="15">
                        <c:v>45000000</c:v>
                      </c:pt>
                      <c:pt idx="16">
                        <c:v>45000000</c:v>
                      </c:pt>
                      <c:pt idx="17">
                        <c:v>45000000</c:v>
                      </c:pt>
                      <c:pt idx="18">
                        <c:v>45000000</c:v>
                      </c:pt>
                      <c:pt idx="19">
                        <c:v>45000000</c:v>
                      </c:pt>
                      <c:pt idx="20">
                        <c:v>45000000</c:v>
                      </c:pt>
                      <c:pt idx="21">
                        <c:v>45000000</c:v>
                      </c:pt>
                      <c:pt idx="22">
                        <c:v>45000000</c:v>
                      </c:pt>
                      <c:pt idx="23">
                        <c:v>45000000</c:v>
                      </c:pt>
                      <c:pt idx="24">
                        <c:v>45000000</c:v>
                      </c:pt>
                      <c:pt idx="25">
                        <c:v>45000000</c:v>
                      </c:pt>
                      <c:pt idx="26">
                        <c:v>45000000</c:v>
                      </c:pt>
                      <c:pt idx="27">
                        <c:v>45000000</c:v>
                      </c:pt>
                      <c:pt idx="28">
                        <c:v>45000000</c:v>
                      </c:pt>
                      <c:pt idx="29">
                        <c:v>45000000</c:v>
                      </c:pt>
                      <c:pt idx="30">
                        <c:v>45000000</c:v>
                      </c:pt>
                      <c:pt idx="31">
                        <c:v>45000000</c:v>
                      </c:pt>
                      <c:pt idx="32">
                        <c:v>45000000</c:v>
                      </c:pt>
                      <c:pt idx="33">
                        <c:v>45000000</c:v>
                      </c:pt>
                      <c:pt idx="34">
                        <c:v>45000000</c:v>
                      </c:pt>
                      <c:pt idx="35">
                        <c:v>45000000</c:v>
                      </c:pt>
                      <c:pt idx="36">
                        <c:v>45000000</c:v>
                      </c:pt>
                      <c:pt idx="37">
                        <c:v>45000000</c:v>
                      </c:pt>
                      <c:pt idx="38">
                        <c:v>45000000</c:v>
                      </c:pt>
                      <c:pt idx="39">
                        <c:v>45000000</c:v>
                      </c:pt>
                      <c:pt idx="40">
                        <c:v>45000000</c:v>
                      </c:pt>
                      <c:pt idx="41">
                        <c:v>45000000</c:v>
                      </c:pt>
                      <c:pt idx="42">
                        <c:v>45000000</c:v>
                      </c:pt>
                      <c:pt idx="43">
                        <c:v>45000000</c:v>
                      </c:pt>
                      <c:pt idx="44">
                        <c:v>45000000</c:v>
                      </c:pt>
                      <c:pt idx="45">
                        <c:v>45000000</c:v>
                      </c:pt>
                      <c:pt idx="46">
                        <c:v>45000000</c:v>
                      </c:pt>
                      <c:pt idx="47">
                        <c:v>45000000</c:v>
                      </c:pt>
                      <c:pt idx="48">
                        <c:v>45000000</c:v>
                      </c:pt>
                      <c:pt idx="49">
                        <c:v>45000000</c:v>
                      </c:pt>
                      <c:pt idx="50">
                        <c:v>45000000</c:v>
                      </c:pt>
                      <c:pt idx="51">
                        <c:v>45000000</c:v>
                      </c:pt>
                      <c:pt idx="52">
                        <c:v>45000000</c:v>
                      </c:pt>
                      <c:pt idx="53">
                        <c:v>45000000</c:v>
                      </c:pt>
                      <c:pt idx="54">
                        <c:v>45000000</c:v>
                      </c:pt>
                      <c:pt idx="55">
                        <c:v>45000000</c:v>
                      </c:pt>
                      <c:pt idx="56">
                        <c:v>45000000</c:v>
                      </c:pt>
                      <c:pt idx="57">
                        <c:v>45000000</c:v>
                      </c:pt>
                      <c:pt idx="58">
                        <c:v>45000000</c:v>
                      </c:pt>
                      <c:pt idx="59">
                        <c:v>45000000</c:v>
                      </c:pt>
                      <c:pt idx="60">
                        <c:v>45000000</c:v>
                      </c:pt>
                      <c:pt idx="61">
                        <c:v>45000000</c:v>
                      </c:pt>
                      <c:pt idx="62">
                        <c:v>45000000</c:v>
                      </c:pt>
                      <c:pt idx="63">
                        <c:v>45000000</c:v>
                      </c:pt>
                      <c:pt idx="64">
                        <c:v>45000000</c:v>
                      </c:pt>
                      <c:pt idx="65">
                        <c:v>45000000</c:v>
                      </c:pt>
                      <c:pt idx="66">
                        <c:v>45000000</c:v>
                      </c:pt>
                      <c:pt idx="67">
                        <c:v>45000000</c:v>
                      </c:pt>
                      <c:pt idx="68">
                        <c:v>45000000</c:v>
                      </c:pt>
                      <c:pt idx="69">
                        <c:v>45000000</c:v>
                      </c:pt>
                      <c:pt idx="70">
                        <c:v>45000000</c:v>
                      </c:pt>
                      <c:pt idx="71">
                        <c:v>45000000</c:v>
                      </c:pt>
                      <c:pt idx="72">
                        <c:v>45000000</c:v>
                      </c:pt>
                      <c:pt idx="73">
                        <c:v>45000000</c:v>
                      </c:pt>
                      <c:pt idx="74">
                        <c:v>45000000</c:v>
                      </c:pt>
                      <c:pt idx="75">
                        <c:v>45000000</c:v>
                      </c:pt>
                      <c:pt idx="76">
                        <c:v>45000000</c:v>
                      </c:pt>
                      <c:pt idx="77">
                        <c:v>45000000</c:v>
                      </c:pt>
                      <c:pt idx="78">
                        <c:v>45000000</c:v>
                      </c:pt>
                      <c:pt idx="79">
                        <c:v>45000000</c:v>
                      </c:pt>
                      <c:pt idx="80">
                        <c:v>45000000</c:v>
                      </c:pt>
                      <c:pt idx="81">
                        <c:v>45000000</c:v>
                      </c:pt>
                      <c:pt idx="82">
                        <c:v>45000000</c:v>
                      </c:pt>
                      <c:pt idx="83">
                        <c:v>45000000</c:v>
                      </c:pt>
                      <c:pt idx="84">
                        <c:v>45000000</c:v>
                      </c:pt>
                      <c:pt idx="85">
                        <c:v>45000000</c:v>
                      </c:pt>
                      <c:pt idx="86">
                        <c:v>45000000</c:v>
                      </c:pt>
                      <c:pt idx="87">
                        <c:v>45000000</c:v>
                      </c:pt>
                      <c:pt idx="88">
                        <c:v>45000000</c:v>
                      </c:pt>
                      <c:pt idx="89">
                        <c:v>45000000</c:v>
                      </c:pt>
                      <c:pt idx="90">
                        <c:v>45000000</c:v>
                      </c:pt>
                      <c:pt idx="91">
                        <c:v>45000000</c:v>
                      </c:pt>
                      <c:pt idx="92">
                        <c:v>45000000</c:v>
                      </c:pt>
                      <c:pt idx="93">
                        <c:v>45000000</c:v>
                      </c:pt>
                      <c:pt idx="94">
                        <c:v>45000000</c:v>
                      </c:pt>
                      <c:pt idx="95">
                        <c:v>45000000</c:v>
                      </c:pt>
                      <c:pt idx="96">
                        <c:v>45000000</c:v>
                      </c:pt>
                      <c:pt idx="97">
                        <c:v>45000000</c:v>
                      </c:pt>
                      <c:pt idx="98">
                        <c:v>45000000</c:v>
                      </c:pt>
                      <c:pt idx="99">
                        <c:v>45000000</c:v>
                      </c:pt>
                      <c:pt idx="100">
                        <c:v>45000000</c:v>
                      </c:pt>
                      <c:pt idx="101">
                        <c:v>45000000</c:v>
                      </c:pt>
                      <c:pt idx="102">
                        <c:v>45000000</c:v>
                      </c:pt>
                      <c:pt idx="103">
                        <c:v>45000000</c:v>
                      </c:pt>
                      <c:pt idx="104">
                        <c:v>45000000</c:v>
                      </c:pt>
                      <c:pt idx="105">
                        <c:v>45000000</c:v>
                      </c:pt>
                      <c:pt idx="106">
                        <c:v>45000000</c:v>
                      </c:pt>
                      <c:pt idx="107">
                        <c:v>45000000</c:v>
                      </c:pt>
                      <c:pt idx="108">
                        <c:v>45000000</c:v>
                      </c:pt>
                      <c:pt idx="109">
                        <c:v>45000000</c:v>
                      </c:pt>
                      <c:pt idx="110">
                        <c:v>45000000</c:v>
                      </c:pt>
                      <c:pt idx="111">
                        <c:v>45000000</c:v>
                      </c:pt>
                      <c:pt idx="112">
                        <c:v>45000000</c:v>
                      </c:pt>
                      <c:pt idx="113">
                        <c:v>45000000</c:v>
                      </c:pt>
                      <c:pt idx="114">
                        <c:v>45000000</c:v>
                      </c:pt>
                      <c:pt idx="115">
                        <c:v>45000000</c:v>
                      </c:pt>
                      <c:pt idx="116">
                        <c:v>45000000</c:v>
                      </c:pt>
                      <c:pt idx="117">
                        <c:v>45000000</c:v>
                      </c:pt>
                      <c:pt idx="118">
                        <c:v>45000000</c:v>
                      </c:pt>
                      <c:pt idx="119">
                        <c:v>45000000</c:v>
                      </c:pt>
                      <c:pt idx="120">
                        <c:v>45000000</c:v>
                      </c:pt>
                      <c:pt idx="121">
                        <c:v>45000000</c:v>
                      </c:pt>
                      <c:pt idx="122">
                        <c:v>45000000</c:v>
                      </c:pt>
                      <c:pt idx="123">
                        <c:v>45000000</c:v>
                      </c:pt>
                      <c:pt idx="124">
                        <c:v>45000000</c:v>
                      </c:pt>
                      <c:pt idx="125">
                        <c:v>45000000</c:v>
                      </c:pt>
                      <c:pt idx="126">
                        <c:v>45000000</c:v>
                      </c:pt>
                      <c:pt idx="127">
                        <c:v>45000000</c:v>
                      </c:pt>
                      <c:pt idx="128">
                        <c:v>45000000</c:v>
                      </c:pt>
                      <c:pt idx="129">
                        <c:v>45000000</c:v>
                      </c:pt>
                      <c:pt idx="130">
                        <c:v>45000000</c:v>
                      </c:pt>
                      <c:pt idx="131">
                        <c:v>45000000</c:v>
                      </c:pt>
                      <c:pt idx="132">
                        <c:v>45000000</c:v>
                      </c:pt>
                      <c:pt idx="133">
                        <c:v>45000000</c:v>
                      </c:pt>
                      <c:pt idx="134">
                        <c:v>45000000</c:v>
                      </c:pt>
                      <c:pt idx="135">
                        <c:v>45000000</c:v>
                      </c:pt>
                      <c:pt idx="136">
                        <c:v>45000000</c:v>
                      </c:pt>
                      <c:pt idx="137">
                        <c:v>45000000</c:v>
                      </c:pt>
                      <c:pt idx="138">
                        <c:v>45000000</c:v>
                      </c:pt>
                      <c:pt idx="139">
                        <c:v>45000000</c:v>
                      </c:pt>
                      <c:pt idx="140">
                        <c:v>45000000</c:v>
                      </c:pt>
                      <c:pt idx="141">
                        <c:v>45000000</c:v>
                      </c:pt>
                      <c:pt idx="142">
                        <c:v>45000000</c:v>
                      </c:pt>
                      <c:pt idx="143">
                        <c:v>45000000</c:v>
                      </c:pt>
                      <c:pt idx="144">
                        <c:v>45000000</c:v>
                      </c:pt>
                      <c:pt idx="145">
                        <c:v>45000000</c:v>
                      </c:pt>
                      <c:pt idx="146">
                        <c:v>45000000</c:v>
                      </c:pt>
                      <c:pt idx="147">
                        <c:v>45000000</c:v>
                      </c:pt>
                      <c:pt idx="148">
                        <c:v>45000000</c:v>
                      </c:pt>
                      <c:pt idx="149">
                        <c:v>45000000</c:v>
                      </c:pt>
                      <c:pt idx="150">
                        <c:v>45000000</c:v>
                      </c:pt>
                      <c:pt idx="151">
                        <c:v>45000000</c:v>
                      </c:pt>
                      <c:pt idx="152">
                        <c:v>45000000</c:v>
                      </c:pt>
                      <c:pt idx="153">
                        <c:v>45000000</c:v>
                      </c:pt>
                      <c:pt idx="154">
                        <c:v>45000000</c:v>
                      </c:pt>
                      <c:pt idx="155">
                        <c:v>45000000</c:v>
                      </c:pt>
                      <c:pt idx="156">
                        <c:v>45000000</c:v>
                      </c:pt>
                      <c:pt idx="157">
                        <c:v>45000000</c:v>
                      </c:pt>
                      <c:pt idx="158">
                        <c:v>45000000</c:v>
                      </c:pt>
                      <c:pt idx="159">
                        <c:v>45000000</c:v>
                      </c:pt>
                      <c:pt idx="160">
                        <c:v>45000000</c:v>
                      </c:pt>
                      <c:pt idx="161">
                        <c:v>45000000</c:v>
                      </c:pt>
                      <c:pt idx="162">
                        <c:v>45000000</c:v>
                      </c:pt>
                      <c:pt idx="163">
                        <c:v>45000000</c:v>
                      </c:pt>
                      <c:pt idx="164">
                        <c:v>45000000</c:v>
                      </c:pt>
                      <c:pt idx="165">
                        <c:v>45000000</c:v>
                      </c:pt>
                      <c:pt idx="166">
                        <c:v>45000000</c:v>
                      </c:pt>
                      <c:pt idx="167">
                        <c:v>45000000</c:v>
                      </c:pt>
                      <c:pt idx="168">
                        <c:v>45000000</c:v>
                      </c:pt>
                      <c:pt idx="169">
                        <c:v>45000000</c:v>
                      </c:pt>
                      <c:pt idx="170">
                        <c:v>45000000</c:v>
                      </c:pt>
                      <c:pt idx="171">
                        <c:v>45000000</c:v>
                      </c:pt>
                      <c:pt idx="172">
                        <c:v>45000000</c:v>
                      </c:pt>
                      <c:pt idx="173">
                        <c:v>45000000</c:v>
                      </c:pt>
                      <c:pt idx="174">
                        <c:v>45000000</c:v>
                      </c:pt>
                      <c:pt idx="175">
                        <c:v>45000000</c:v>
                      </c:pt>
                      <c:pt idx="176">
                        <c:v>45000000</c:v>
                      </c:pt>
                      <c:pt idx="177">
                        <c:v>45000000</c:v>
                      </c:pt>
                      <c:pt idx="178">
                        <c:v>45000000</c:v>
                      </c:pt>
                      <c:pt idx="179">
                        <c:v>45000000</c:v>
                      </c:pt>
                      <c:pt idx="180">
                        <c:v>45000000</c:v>
                      </c:pt>
                      <c:pt idx="181">
                        <c:v>45000000</c:v>
                      </c:pt>
                      <c:pt idx="182">
                        <c:v>45000000</c:v>
                      </c:pt>
                      <c:pt idx="183">
                        <c:v>45000000</c:v>
                      </c:pt>
                      <c:pt idx="184">
                        <c:v>45000000</c:v>
                      </c:pt>
                      <c:pt idx="185">
                        <c:v>45000000</c:v>
                      </c:pt>
                      <c:pt idx="186">
                        <c:v>45000000</c:v>
                      </c:pt>
                      <c:pt idx="187">
                        <c:v>45000000</c:v>
                      </c:pt>
                      <c:pt idx="188">
                        <c:v>45000000</c:v>
                      </c:pt>
                      <c:pt idx="189">
                        <c:v>45000000</c:v>
                      </c:pt>
                      <c:pt idx="190">
                        <c:v>45000000</c:v>
                      </c:pt>
                      <c:pt idx="191">
                        <c:v>45000000</c:v>
                      </c:pt>
                      <c:pt idx="192">
                        <c:v>45000000</c:v>
                      </c:pt>
                      <c:pt idx="193">
                        <c:v>45000000</c:v>
                      </c:pt>
                      <c:pt idx="194">
                        <c:v>45000000</c:v>
                      </c:pt>
                      <c:pt idx="195">
                        <c:v>45000000</c:v>
                      </c:pt>
                      <c:pt idx="196">
                        <c:v>45000000</c:v>
                      </c:pt>
                      <c:pt idx="197">
                        <c:v>45000000</c:v>
                      </c:pt>
                      <c:pt idx="198">
                        <c:v>45000000</c:v>
                      </c:pt>
                      <c:pt idx="199">
                        <c:v>45000000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6D5A-4CEC-B44E-05B894795906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Calculate!$E$1</c15:sqref>
                        </c15:formulaRef>
                      </c:ext>
                    </c:extLst>
                    <c:strCache>
                      <c:ptCount val="1"/>
                      <c:pt idx="0">
                        <c:v>IL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Calculate!$E$2:$E$201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-1.6447868570683462</c:v>
                      </c:pt>
                      <c:pt idx="1">
                        <c:v>-2.360552562503381</c:v>
                      </c:pt>
                      <c:pt idx="2">
                        <c:v>-2.9234713745604055</c:v>
                      </c:pt>
                      <c:pt idx="3">
                        <c:v>-3.4072708126354634</c:v>
                      </c:pt>
                      <c:pt idx="4">
                        <c:v>-3.8405086106511099</c:v>
                      </c:pt>
                      <c:pt idx="5">
                        <c:v>-4.2378309131857677</c:v>
                      </c:pt>
                      <c:pt idx="6">
                        <c:v>-4.6079382019252728</c:v>
                      </c:pt>
                      <c:pt idx="7">
                        <c:v>-4.9564993220043041</c:v>
                      </c:pt>
                      <c:pt idx="8">
                        <c:v>-5.2874518667013506</c:v>
                      </c:pt>
                      <c:pt idx="9">
                        <c:v>-5.603662773714996</c:v>
                      </c:pt>
                      <c:pt idx="10">
                        <c:v>-5.9072963494298989</c:v>
                      </c:pt>
                      <c:pt idx="11">
                        <c:v>-6.2000340446171247</c:v>
                      </c:pt>
                      <c:pt idx="12">
                        <c:v>-6.4832130288058645</c:v>
                      </c:pt>
                      <c:pt idx="13">
                        <c:v>-6.7579174739099761</c:v>
                      </c:pt>
                      <c:pt idx="14">
                        <c:v>-7.0250408930359889</c:v>
                      </c:pt>
                      <c:pt idx="15">
                        <c:v>-7.2853300192660111</c:v>
                      </c:pt>
                      <c:pt idx="16">
                        <c:v>-7.5394164960904622</c:v>
                      </c:pt>
                      <c:pt idx="17">
                        <c:v>-7.7878402785027694</c:v>
                      </c:pt>
                      <c:pt idx="18">
                        <c:v>-8.0310672502110751</c:v>
                      </c:pt>
                      <c:pt idx="19">
                        <c:v>-8.2695027137960739</c:v>
                      </c:pt>
                      <c:pt idx="20">
                        <c:v>-8.5035018773476576</c:v>
                      </c:pt>
                      <c:pt idx="21">
                        <c:v>-8.7333781165882343</c:v>
                      </c:pt>
                      <c:pt idx="22">
                        <c:v>-8.9594095634032698</c:v>
                      </c:pt>
                      <c:pt idx="23">
                        <c:v>-9.1818444173641609</c:v>
                      </c:pt>
                      <c:pt idx="24">
                        <c:v>-9.4009052703294405</c:v>
                      </c:pt>
                      <c:pt idx="25">
                        <c:v>-9.6167926594072224</c:v>
                      </c:pt>
                      <c:pt idx="26">
                        <c:v>-9.8296880101701554</c:v>
                      </c:pt>
                      <c:pt idx="27">
                        <c:v>-10.039756093341939</c:v>
                      </c:pt>
                      <c:pt idx="28">
                        <c:v>-10.247147089785292</c:v>
                      </c:pt>
                      <c:pt idx="29">
                        <c:v>-10.451998337521728</c:v>
                      </c:pt>
                      <c:pt idx="30">
                        <c:v>-10.654435818652308</c:v>
                      </c:pt>
                      <c:pt idx="31">
                        <c:v>-10.854575431998777</c:v>
                      </c:pt>
                      <c:pt idx="32">
                        <c:v>-11.052524088040251</c:v>
                      </c:pt>
                      <c:pt idx="33">
                        <c:v>-11.248380655563825</c:v>
                      </c:pt>
                      <c:pt idx="34">
                        <c:v>-11.44223678385946</c:v>
                      </c:pt>
                      <c:pt idx="35">
                        <c:v>-11.63417761989164</c:v>
                      </c:pt>
                      <c:pt idx="36">
                        <c:v>-11.824282436393002</c:v>
                      </c:pt>
                      <c:pt idx="37">
                        <c:v>-12.012625184040772</c:v>
                      </c:pt>
                      <c:pt idx="38">
                        <c:v>-12.199274978638783</c:v>
                      </c:pt>
                      <c:pt idx="39">
                        <c:v>-12.384296532417702</c:v>
                      </c:pt>
                      <c:pt idx="40">
                        <c:v>-12.567750537093628</c:v>
                      </c:pt>
                      <c:pt idx="41">
                        <c:v>-12.74969400512062</c:v>
                      </c:pt>
                      <c:pt idx="42">
                        <c:v>-12.930180574581952</c:v>
                      </c:pt>
                      <c:pt idx="43">
                        <c:v>-13.109260782346279</c:v>
                      </c:pt>
                      <c:pt idx="44">
                        <c:v>-13.286982309434892</c:v>
                      </c:pt>
                      <c:pt idx="45">
                        <c:v>-13.463390201979218</c:v>
                      </c:pt>
                      <c:pt idx="46">
                        <c:v>-13.638527070672421</c:v>
                      </c:pt>
                      <c:pt idx="47">
                        <c:v>-13.812433271219499</c:v>
                      </c:pt>
                      <c:pt idx="48">
                        <c:v>-13.985147067952616</c:v>
                      </c:pt>
                      <c:pt idx="49">
                        <c:v>-14.156704782492326</c:v>
                      </c:pt>
                      <c:pt idx="50">
                        <c:v>-14.327140929092124</c:v>
                      </c:pt>
                      <c:pt idx="51">
                        <c:v>-14.496488338095752</c:v>
                      </c:pt>
                      <c:pt idx="52">
                        <c:v>-14.664778268759056</c:v>
                      </c:pt>
                      <c:pt idx="53">
                        <c:v>-14.832040512535178</c:v>
                      </c:pt>
                      <c:pt idx="54">
                        <c:v>-14.998303487790231</c:v>
                      </c:pt>
                      <c:pt idx="55">
                        <c:v>-15.163594326802745</c:v>
                      </c:pt>
                      <c:pt idx="56">
                        <c:v>-15.327938955801581</c:v>
                      </c:pt>
                      <c:pt idx="57">
                        <c:v>-15.491362168711314</c:v>
                      </c:pt>
                      <c:pt idx="58">
                        <c:v>-15.653887695199288</c:v>
                      </c:pt>
                      <c:pt idx="59">
                        <c:v>-15.815538263553544</c:v>
                      </c:pt>
                      <c:pt idx="60">
                        <c:v>-15.976335658863499</c:v>
                      </c:pt>
                      <c:pt idx="61">
                        <c:v>-16.136300776925363</c:v>
                      </c:pt>
                      <c:pt idx="62">
                        <c:v>-16.295453674250005</c:v>
                      </c:pt>
                      <c:pt idx="63">
                        <c:v>-16.453813614512352</c:v>
                      </c:pt>
                      <c:pt idx="64">
                        <c:v>-16.611399111746962</c:v>
                      </c:pt>
                      <c:pt idx="65">
                        <c:v>-16.768227970564045</c:v>
                      </c:pt>
                      <c:pt idx="66">
                        <c:v>-16.92431732363346</c:v>
                      </c:pt>
                      <c:pt idx="67">
                        <c:v>-17.079683666660031</c:v>
                      </c:pt>
                      <c:pt idx="68">
                        <c:v>-17.234342891052489</c:v>
                      </c:pt>
                      <c:pt idx="69">
                        <c:v>-17.38831031446917</c:v>
                      </c:pt>
                      <c:pt idx="70">
                        <c:v>-17.541600709406801</c:v>
                      </c:pt>
                      <c:pt idx="71">
                        <c:v>-17.694228329983414</c:v>
                      </c:pt>
                      <c:pt idx="72">
                        <c:v>-17.846206937052884</c:v>
                      </c:pt>
                      <c:pt idx="73">
                        <c:v>-17.997549821776396</c:v>
                      </c:pt>
                      <c:pt idx="74">
                        <c:v>-18.148269827765159</c:v>
                      </c:pt>
                      <c:pt idx="75">
                        <c:v>-18.298379371898797</c:v>
                      </c:pt>
                      <c:pt idx="76">
                        <c:v>-18.447890463914987</c:v>
                      </c:pt>
                      <c:pt idx="77">
                        <c:v>-18.596814724857769</c:v>
                      </c:pt>
                      <c:pt idx="78">
                        <c:v>-18.745163404464869</c:v>
                      </c:pt>
                      <c:pt idx="79">
                        <c:v>-18.892947397567564</c:v>
                      </c:pt>
                      <c:pt idx="80">
                        <c:v>-19.040177259570868</c:v>
                      </c:pt>
                      <c:pt idx="81">
                        <c:v>-19.18686322107623</c:v>
                      </c:pt>
                      <c:pt idx="82">
                        <c:v>-19.333015201704136</c:v>
                      </c:pt>
                      <c:pt idx="83">
                        <c:v>-19.478642823169505</c:v>
                      </c:pt>
                      <c:pt idx="84">
                        <c:v>-19.623755421658522</c:v>
                      </c:pt>
                      <c:pt idx="85">
                        <c:v>-19.768362059552224</c:v>
                      </c:pt>
                      <c:pt idx="86">
                        <c:v>-19.912471536538227</c:v>
                      </c:pt>
                      <c:pt idx="87">
                        <c:v>-20.056092400149428</c:v>
                      </c:pt>
                      <c:pt idx="88">
                        <c:v>-20.199232955765162</c:v>
                      </c:pt>
                      <c:pt idx="89">
                        <c:v>-20.341901276108118</c:v>
                      </c:pt>
                      <c:pt idx="90">
                        <c:v>-20.484105210267689</c:v>
                      </c:pt>
                      <c:pt idx="91">
                        <c:v>-20.625852392278269</c:v>
                      </c:pt>
                      <c:pt idx="92">
                        <c:v>-20.767150249279045</c:v>
                      </c:pt>
                      <c:pt idx="93">
                        <c:v>-20.908006009280061</c:v>
                      </c:pt>
                      <c:pt idx="94">
                        <c:v>-21.048426708557365</c:v>
                      </c:pt>
                      <c:pt idx="95">
                        <c:v>-21.188419198698824</c:v>
                      </c:pt>
                      <c:pt idx="96">
                        <c:v>-21.327990153320474</c:v>
                      </c:pt>
                      <c:pt idx="97">
                        <c:v>-21.467146074472051</c:v>
                      </c:pt>
                      <c:pt idx="98">
                        <c:v>-21.605893298749137</c:v>
                      </c:pt>
                      <c:pt idx="99">
                        <c:v>-21.744238003128153</c:v>
                      </c:pt>
                      <c:pt idx="100">
                        <c:v>-21.88218621053942</c:v>
                      </c:pt>
                      <c:pt idx="101">
                        <c:v>-22.019743795192511</c:v>
                      </c:pt>
                      <c:pt idx="102">
                        <c:v>-22.156916487667186</c:v>
                      </c:pt>
                      <c:pt idx="103">
                        <c:v>-22.29370987978249</c:v>
                      </c:pt>
                      <c:pt idx="104">
                        <c:v>-22.430129429255643</c:v>
                      </c:pt>
                      <c:pt idx="105">
                        <c:v>-22.566180464161668</c:v>
                      </c:pt>
                      <c:pt idx="106">
                        <c:v>-22.701868187204219</c:v>
                      </c:pt>
                      <c:pt idx="107">
                        <c:v>-22.837197679807126</c:v>
                      </c:pt>
                      <c:pt idx="108">
                        <c:v>-22.972173906035895</c:v>
                      </c:pt>
                      <c:pt idx="109">
                        <c:v>-23.106801716357637</c:v>
                      </c:pt>
                      <c:pt idx="110">
                        <c:v>-23.241085851247544</c:v>
                      </c:pt>
                      <c:pt idx="111">
                        <c:v>-23.375030944649467</c:v>
                      </c:pt>
                      <c:pt idx="112">
                        <c:v>-23.508641527297751</c:v>
                      </c:pt>
                      <c:pt idx="113">
                        <c:v>-23.641922029907107</c:v>
                      </c:pt>
                      <c:pt idx="114">
                        <c:v>-23.774876786236735</c:v>
                      </c:pt>
                      <c:pt idx="115">
                        <c:v>-23.907510036034942</c:v>
                      </c:pt>
                      <c:pt idx="116">
                        <c:v>-24.039825927869661</c:v>
                      </c:pt>
                      <c:pt idx="117">
                        <c:v>-24.171828521850376</c:v>
                      </c:pt>
                      <c:pt idx="118">
                        <c:v>-24.303521792246432</c:v>
                      </c:pt>
                      <c:pt idx="119">
                        <c:v>-24.434909630006583</c:v>
                      </c:pt>
                      <c:pt idx="120">
                        <c:v>-24.565995845184208</c:v>
                      </c:pt>
                      <c:pt idx="121">
                        <c:v>-24.696784169272505</c:v>
                      </c:pt>
                      <c:pt idx="122">
                        <c:v>-24.82727825745377</c:v>
                      </c:pt>
                      <c:pt idx="123">
                        <c:v>-24.957481690766517</c:v>
                      </c:pt>
                      <c:pt idx="124">
                        <c:v>-25.087397978194097</c:v>
                      </c:pt>
                      <c:pt idx="125">
                        <c:v>-25.217030558678303</c:v>
                      </c:pt>
                      <c:pt idx="126">
                        <c:v>-25.346382803061196</c:v>
                      </c:pt>
                      <c:pt idx="127">
                        <c:v>-25.475458015958221</c:v>
                      </c:pt>
                      <c:pt idx="128">
                        <c:v>-25.604259437565645</c:v>
                      </c:pt>
                      <c:pt idx="129">
                        <c:v>-25.73279024540502</c:v>
                      </c:pt>
                      <c:pt idx="130">
                        <c:v>-25.861053556007434</c:v>
                      </c:pt>
                      <c:pt idx="131">
                        <c:v>-25.989052426539949</c:v>
                      </c:pt>
                      <c:pt idx="132">
                        <c:v>-26.116789856376712</c:v>
                      </c:pt>
                      <c:pt idx="133">
                        <c:v>-26.244268788617067</c:v>
                      </c:pt>
                      <c:pt idx="134">
                        <c:v>-26.371492111552655</c:v>
                      </c:pt>
                      <c:pt idx="135">
                        <c:v>-26.49846266008586</c:v>
                      </c:pt>
                      <c:pt idx="136">
                        <c:v>-26.625183217101231</c:v>
                      </c:pt>
                      <c:pt idx="137">
                        <c:v>-26.751656514792085</c:v>
                      </c:pt>
                      <c:pt idx="138">
                        <c:v>-26.87788523594384</c:v>
                      </c:pt>
                      <c:pt idx="139">
                        <c:v>-27.003872015175904</c:v>
                      </c:pt>
                      <c:pt idx="140">
                        <c:v>-27.129619440143731</c:v>
                      </c:pt>
                      <c:pt idx="141">
                        <c:v>-27.255130052702548</c:v>
                      </c:pt>
                      <c:pt idx="142">
                        <c:v>-27.38040635003426</c:v>
                      </c:pt>
                      <c:pt idx="143">
                        <c:v>-27.505450785739033</c:v>
                      </c:pt>
                      <c:pt idx="144">
                        <c:v>-27.630265770892713</c:v>
                      </c:pt>
                      <c:pt idx="145">
                        <c:v>-27.754853675071558</c:v>
                      </c:pt>
                      <c:pt idx="146">
                        <c:v>-27.87921682734541</c:v>
                      </c:pt>
                      <c:pt idx="147">
                        <c:v>-28.003357517240524</c:v>
                      </c:pt>
                      <c:pt idx="148">
                        <c:v>-28.127277995673175</c:v>
                      </c:pt>
                      <c:pt idx="149">
                        <c:v>-28.250980475855094</c:v>
                      </c:pt>
                      <c:pt idx="150">
                        <c:v>-28.374467134171809</c:v>
                      </c:pt>
                      <c:pt idx="151">
                        <c:v>-28.497740111034837</c:v>
                      </c:pt>
                      <c:pt idx="152">
                        <c:v>-28.620801511708706</c:v>
                      </c:pt>
                      <c:pt idx="153">
                        <c:v>-28.743653407113655</c:v>
                      </c:pt>
                      <c:pt idx="154">
                        <c:v>-28.866297834604957</c:v>
                      </c:pt>
                      <c:pt idx="155">
                        <c:v>-28.988736798729636</c:v>
                      </c:pt>
                      <c:pt idx="156">
                        <c:v>-29.110972271961383</c:v>
                      </c:pt>
                      <c:pt idx="157">
                        <c:v>-29.233006195414447</c:v>
                      </c:pt>
                      <c:pt idx="158">
                        <c:v>-29.354840479537224</c:v>
                      </c:pt>
                      <c:pt idx="159">
                        <c:v>-29.47647700478624</c:v>
                      </c:pt>
                      <c:pt idx="160">
                        <c:v>-29.597917622281244</c:v>
                      </c:pt>
                      <c:pt idx="161">
                        <c:v>-29.719164154441941</c:v>
                      </c:pt>
                      <c:pt idx="162">
                        <c:v>-29.840218395607156</c:v>
                      </c:pt>
                      <c:pt idx="163">
                        <c:v>-29.96108211263687</c:v>
                      </c:pt>
                      <c:pt idx="164">
                        <c:v>-30.08175704549776</c:v>
                      </c:pt>
                      <c:pt idx="165">
                        <c:v>-30.202244907832856</c:v>
                      </c:pt>
                      <c:pt idx="166">
                        <c:v>-30.322547387515698</c:v>
                      </c:pt>
                      <c:pt idx="167">
                        <c:v>-30.44266614718962</c:v>
                      </c:pt>
                      <c:pt idx="168">
                        <c:v>-30.562602824792627</c:v>
                      </c:pt>
                      <c:pt idx="169">
                        <c:v>-30.682359034068302</c:v>
                      </c:pt>
                      <c:pt idx="170">
                        <c:v>-30.80193636506317</c:v>
                      </c:pt>
                      <c:pt idx="171">
                        <c:v>-30.921336384611056</c:v>
                      </c:pt>
                      <c:pt idx="172">
                        <c:v>-31.040560636804756</c:v>
                      </c:pt>
                      <c:pt idx="173">
                        <c:v>-31.159610643455469</c:v>
                      </c:pt>
                      <c:pt idx="174">
                        <c:v>-31.278487904540327</c:v>
                      </c:pt>
                      <c:pt idx="175">
                        <c:v>-31.397193898638477</c:v>
                      </c:pt>
                      <c:pt idx="176">
                        <c:v>-31.515730083356026</c:v>
                      </c:pt>
                      <c:pt idx="177">
                        <c:v>-31.634097895740169</c:v>
                      </c:pt>
                      <c:pt idx="178">
                        <c:v>-31.752298752682883</c:v>
                      </c:pt>
                      <c:pt idx="179">
                        <c:v>-31.870334051314476</c:v>
                      </c:pt>
                      <c:pt idx="180">
                        <c:v>-31.988205169387328</c:v>
                      </c:pt>
                      <c:pt idx="181">
                        <c:v>-32.105913465650069</c:v>
                      </c:pt>
                      <c:pt idx="182">
                        <c:v>-32.223460280212564</c:v>
                      </c:pt>
                      <c:pt idx="183">
                        <c:v>-32.340846934901904</c:v>
                      </c:pt>
                      <c:pt idx="184">
                        <c:v>-32.458074733609699</c:v>
                      </c:pt>
                      <c:pt idx="185">
                        <c:v>-32.575144962630965</c:v>
                      </c:pt>
                      <c:pt idx="186">
                        <c:v>-32.692058890994794</c:v>
                      </c:pt>
                      <c:pt idx="187">
                        <c:v>-32.80881777078708</c:v>
                      </c:pt>
                      <c:pt idx="188">
                        <c:v>-32.925422837465547</c:v>
                      </c:pt>
                      <c:pt idx="189">
                        <c:v>-33.041875310167256</c:v>
                      </c:pt>
                      <c:pt idx="190">
                        <c:v>-33.158176392008919</c:v>
                      </c:pt>
                      <c:pt idx="191">
                        <c:v>-33.274327270380006</c:v>
                      </c:pt>
                      <c:pt idx="192">
                        <c:v>-33.390329117229108</c:v>
                      </c:pt>
                      <c:pt idx="193">
                        <c:v>-33.506183089343615</c:v>
                      </c:pt>
                      <c:pt idx="194">
                        <c:v>-33.621890328622854</c:v>
                      </c:pt>
                      <c:pt idx="195">
                        <c:v>-33.737451962345006</c:v>
                      </c:pt>
                      <c:pt idx="196">
                        <c:v>-33.852869103427842</c:v>
                      </c:pt>
                      <c:pt idx="197">
                        <c:v>-33.968142850683591</c:v>
                      </c:pt>
                      <c:pt idx="198">
                        <c:v>-34.083274289067873</c:v>
                      </c:pt>
                      <c:pt idx="199">
                        <c:v>-34.198264489923204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D5A-4CEC-B44E-05B894795906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Calculate!$F$1</c15:sqref>
                        </c15:formulaRef>
                      </c:ext>
                    </c:extLst>
                    <c:strCache>
                      <c:ptCount val="1"/>
                      <c:pt idx="0">
                        <c:v>Tx_PSD_us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Calculate!$F$2:$F$201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D5A-4CEC-B44E-05B89479590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Calculate!$G$1</c15:sqref>
                        </c15:formulaRef>
                      </c:ext>
                    </c:extLst>
                    <c:strCache>
                      <c:ptCount val="1"/>
                      <c:pt idx="0">
                        <c:v>Tx_PSD_ds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Calculate!$G$2:$G$201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D5A-4CEC-B44E-05B894795906}"/>
                  </c:ext>
                </c:extLst>
              </c15:ser>
            </c15:filteredScatterSeries>
            <c15:filteredScatterSeries>
              <c15:ser>
                <c:idx val="16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Calculate!$V$1</c15:sqref>
                        </c15:formulaRef>
                      </c:ext>
                    </c:extLst>
                    <c:strCache>
                      <c:ptCount val="1"/>
                      <c:pt idx="0">
                        <c:v>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Calculate!$V$2:$V$201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D5A-4CEC-B44E-05B894795906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Calculate!$H$1</c15:sqref>
                        </c15:formulaRef>
                      </c:ext>
                    </c:extLst>
                    <c:strCache>
                      <c:ptCount val="1"/>
                      <c:pt idx="0">
                        <c:v>Rx_PSD_us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Calculate!$H$2:$H$201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D5A-4CEC-B44E-05B894795906}"/>
                  </c:ext>
                </c:extLst>
              </c15:ser>
            </c15:filteredScatterSeries>
            <c15:filteredScatterSeries>
              <c15:ser>
                <c:idx val="5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Calculate!$I$1</c15:sqref>
                        </c15:formulaRef>
                      </c:ext>
                    </c:extLst>
                    <c:strCache>
                      <c:ptCount val="1"/>
                      <c:pt idx="0">
                        <c:v>Rx_PSD_ds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Calculate!$I$2:$I$201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D5A-4CEC-B44E-05B894795906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Calculate!$J$1</c15:sqref>
                        </c15:formulaRef>
                      </c:ext>
                    </c:extLst>
                    <c:strCache>
                      <c:ptCount val="1"/>
                      <c:pt idx="0">
                        <c:v>Echo_transfer_us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Calculate!$J$2:$J$201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D5A-4CEC-B44E-05B894795906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Calculate!$K$1</c15:sqref>
                        </c15:formulaRef>
                      </c:ext>
                    </c:extLst>
                    <c:strCache>
                      <c:ptCount val="1"/>
                      <c:pt idx="0">
                        <c:v>Echo_transfer_ds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Calculate!$K$2:$K$201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6D5A-4CEC-B44E-05B894795906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Calculate!$L$1</c15:sqref>
                        </c15:formulaRef>
                      </c:ext>
                    </c:extLst>
                    <c:strCache>
                      <c:ptCount val="1"/>
                      <c:pt idx="0">
                        <c:v>Rx_echo_us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Calculate!$L$2:$L$201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6D5A-4CEC-B44E-05B894795906}"/>
                  </c:ext>
                </c:extLst>
              </c15:ser>
            </c15:filteredScatterSeries>
            <c15:filteredScatte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Calculate!$M$1</c15:sqref>
                        </c15:formulaRef>
                      </c:ext>
                    </c:extLst>
                    <c:strCache>
                      <c:ptCount val="1"/>
                      <c:pt idx="0">
                        <c:v>Rx_echo_ds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Calculate!$M$2:$M$201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6D5A-4CEC-B44E-05B894795906}"/>
                  </c:ext>
                </c:extLst>
              </c15:ser>
            </c15:filteredScatterSeries>
            <c15:filteredScatte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Calculate!$N$1</c15:sqref>
                        </c15:formulaRef>
                      </c:ext>
                    </c:extLst>
                    <c:strCache>
                      <c:ptCount val="1"/>
                      <c:pt idx="0">
                        <c:v>AFE_noise_us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Calculate!$N$2:$N$201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6D5A-4CEC-B44E-05B894795906}"/>
                  </c:ext>
                </c:extLst>
              </c15:ser>
            </c15:filteredScatterSeries>
            <c15:filteredScatte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Calculate!$O$1</c15:sqref>
                        </c15:formulaRef>
                      </c:ext>
                    </c:extLst>
                    <c:strCache>
                      <c:ptCount val="1"/>
                      <c:pt idx="0">
                        <c:v>AFE_noise_ds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Calculate!$O$2:$O$201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6D5A-4CEC-B44E-05B894795906}"/>
                  </c:ext>
                </c:extLst>
              </c15:ser>
            </c15:filteredScatterSeries>
            <c15:filteredScatte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Calculate!$P$1</c15:sqref>
                        </c15:formulaRef>
                      </c:ext>
                    </c:extLst>
                    <c:strCache>
                      <c:ptCount val="1"/>
                      <c:pt idx="0">
                        <c:v>EC_cancelation_us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Calculate!$P$2:$P$201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6D5A-4CEC-B44E-05B894795906}"/>
                  </c:ext>
                </c:extLst>
              </c15:ser>
            </c15:filteredScatterSeries>
            <c15:filteredScatterSeries>
              <c15:ser>
                <c:idx val="13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Calculate!$Q$1</c15:sqref>
                        </c15:formulaRef>
                      </c:ext>
                    </c:extLst>
                    <c:strCache>
                      <c:ptCount val="1"/>
                      <c:pt idx="0">
                        <c:v>EC_cancelation_ds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Calculate!$Q$2:$Q$201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6D5A-4CEC-B44E-05B894795906}"/>
                  </c:ext>
                </c:extLst>
              </c15:ser>
            </c15:filteredScatterSeries>
            <c15:filteredScatterSeries>
              <c15:ser>
                <c:idx val="14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Calculate!$R$1</c15:sqref>
                        </c15:formulaRef>
                      </c:ext>
                    </c:extLst>
                    <c:strCache>
                      <c:ptCount val="1"/>
                      <c:pt idx="0">
                        <c:v>Echo_res_us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Calculate!$R$2:$R$201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6D5A-4CEC-B44E-05B894795906}"/>
                  </c:ext>
                </c:extLst>
              </c15:ser>
            </c15:filteredScatterSeries>
            <c15:filteredScatte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Calculate!$S$1</c15:sqref>
                        </c15:formulaRef>
                      </c:ext>
                    </c:extLst>
                    <c:strCache>
                      <c:ptCount val="1"/>
                      <c:pt idx="0">
                        <c:v>Echo_res_ds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Calculate!$S$2:$S$201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6D5A-4CEC-B44E-05B894795906}"/>
                  </c:ext>
                </c:extLst>
              </c15:ser>
            </c15:filteredScatterSeries>
            <c15:filteredScatter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Calculate!$W$1</c15:sqref>
                        </c15:formulaRef>
                      </c:ext>
                    </c:extLst>
                    <c:strCache>
                      <c:ptCount val="1"/>
                      <c:pt idx="0">
                        <c:v>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Calculate!$W$2:$W$201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6D5A-4CEC-B44E-05B894795906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Calculate!$Z$1</c15:sqref>
                        </c15:formulaRef>
                      </c:ext>
                    </c:extLst>
                    <c:strCache>
                      <c:ptCount val="1"/>
                      <c:pt idx="0">
                        <c:v>SNR_us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Calculate!$Z$2:$Z$201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6D5A-4CEC-B44E-05B894795906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Calculate!$AA$1</c15:sqref>
                        </c15:formulaRef>
                      </c:ext>
                    </c:extLst>
                    <c:strCache>
                      <c:ptCount val="1"/>
                      <c:pt idx="0">
                        <c:v>SNR_ds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Calculate!$AA$2:$AA$201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6D5A-4CEC-B44E-05B894795906}"/>
                  </c:ext>
                </c:extLst>
              </c15:ser>
            </c15:filteredScatterSeries>
          </c:ext>
        </c:extLst>
      </c:scatterChart>
      <c:valAx>
        <c:axId val="93252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7584"/>
        <c:crosses val="autoZero"/>
        <c:crossBetween val="midCat"/>
        <c:dispUnits>
          <c:builtInUnit val="billions"/>
        </c:dispUnits>
      </c:valAx>
      <c:valAx>
        <c:axId val="93252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Signal and Noise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6"/>
          <c:order val="4"/>
          <c:tx>
            <c:strRef>
              <c:f>Calculate!$V$1</c:f>
              <c:strCache>
                <c:ptCount val="1"/>
                <c:pt idx="0">
                  <c:v>Noise_us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Calculate!$V$2:$V$201</c:f>
              <c:numCache>
                <c:formatCode>0.00</c:formatCode>
                <c:ptCount val="200"/>
                <c:pt idx="0">
                  <c:v>-138.80699831823648</c:v>
                </c:pt>
                <c:pt idx="1">
                  <c:v>-138.80710374380217</c:v>
                </c:pt>
                <c:pt idx="2">
                  <c:v>-138.80727943982365</c:v>
                </c:pt>
                <c:pt idx="3">
                  <c:v>-138.80752538641923</c:v>
                </c:pt>
                <c:pt idx="4">
                  <c:v>-138.80784155575441</c:v>
                </c:pt>
                <c:pt idx="5">
                  <c:v>-138.80822791204542</c:v>
                </c:pt>
                <c:pt idx="6">
                  <c:v>-138.80868441155664</c:v>
                </c:pt>
                <c:pt idx="7">
                  <c:v>-138.80921100260667</c:v>
                </c:pt>
                <c:pt idx="8">
                  <c:v>-138.80980762556388</c:v>
                </c:pt>
                <c:pt idx="9">
                  <c:v>-138.81047421285504</c:v>
                </c:pt>
                <c:pt idx="10">
                  <c:v>-138.81121068896331</c:v>
                </c:pt>
                <c:pt idx="11">
                  <c:v>-138.81201697043164</c:v>
                </c:pt>
                <c:pt idx="12">
                  <c:v>-138.81289296586567</c:v>
                </c:pt>
                <c:pt idx="13">
                  <c:v>-138.81383857593647</c:v>
                </c:pt>
                <c:pt idx="14">
                  <c:v>-138.81485369338381</c:v>
                </c:pt>
                <c:pt idx="15">
                  <c:v>-138.81593820302135</c:v>
                </c:pt>
                <c:pt idx="16">
                  <c:v>-138.81709198173974</c:v>
                </c:pt>
                <c:pt idx="17">
                  <c:v>-138.81831489851015</c:v>
                </c:pt>
                <c:pt idx="18">
                  <c:v>-138.81960681438539</c:v>
                </c:pt>
                <c:pt idx="19">
                  <c:v>-138.82096758251458</c:v>
                </c:pt>
                <c:pt idx="20">
                  <c:v>-138.82239704814029</c:v>
                </c:pt>
                <c:pt idx="21">
                  <c:v>-138.82389504860339</c:v>
                </c:pt>
                <c:pt idx="22">
                  <c:v>-138.82546141335456</c:v>
                </c:pt>
                <c:pt idx="23">
                  <c:v>-138.8270959639564</c:v>
                </c:pt>
                <c:pt idx="24">
                  <c:v>-138.82879851409581</c:v>
                </c:pt>
                <c:pt idx="25">
                  <c:v>-138.83056886957868</c:v>
                </c:pt>
                <c:pt idx="26">
                  <c:v>-138.83240682834938</c:v>
                </c:pt>
                <c:pt idx="27">
                  <c:v>-138.83431218049924</c:v>
                </c:pt>
                <c:pt idx="28">
                  <c:v>-138.83628470825482</c:v>
                </c:pt>
                <c:pt idx="29">
                  <c:v>-138.83832418602236</c:v>
                </c:pt>
                <c:pt idx="30">
                  <c:v>-138.8404303803589</c:v>
                </c:pt>
                <c:pt idx="31">
                  <c:v>-138.84260305000464</c:v>
                </c:pt>
                <c:pt idx="32">
                  <c:v>-138.84484194589442</c:v>
                </c:pt>
                <c:pt idx="33">
                  <c:v>-138.84714681114824</c:v>
                </c:pt>
                <c:pt idx="34">
                  <c:v>-138.84951738110539</c:v>
                </c:pt>
                <c:pt idx="35">
                  <c:v>-138.85195338332056</c:v>
                </c:pt>
                <c:pt idx="36">
                  <c:v>-138.85445453758098</c:v>
                </c:pt>
                <c:pt idx="37">
                  <c:v>-138.8570205559152</c:v>
                </c:pt>
                <c:pt idx="38">
                  <c:v>-138.85965114262297</c:v>
                </c:pt>
                <c:pt idx="39">
                  <c:v>-138.8623459942612</c:v>
                </c:pt>
                <c:pt idx="40">
                  <c:v>-138.86510479967509</c:v>
                </c:pt>
                <c:pt idx="41">
                  <c:v>-138.86792724002643</c:v>
                </c:pt>
                <c:pt idx="42">
                  <c:v>-138.87081298876569</c:v>
                </c:pt>
                <c:pt idx="43">
                  <c:v>-138.87376171170038</c:v>
                </c:pt>
                <c:pt idx="44">
                  <c:v>-138.87677306697142</c:v>
                </c:pt>
                <c:pt idx="45">
                  <c:v>-138.87984670509181</c:v>
                </c:pt>
                <c:pt idx="46">
                  <c:v>-138.88298226896103</c:v>
                </c:pt>
                <c:pt idx="47">
                  <c:v>-138.88617939388155</c:v>
                </c:pt>
                <c:pt idx="48">
                  <c:v>-138.8894377075778</c:v>
                </c:pt>
                <c:pt idx="49">
                  <c:v>-138.89275683021674</c:v>
                </c:pt>
                <c:pt idx="50">
                  <c:v>-138.89613637442611</c:v>
                </c:pt>
                <c:pt idx="51">
                  <c:v>-138.89957594532848</c:v>
                </c:pt>
                <c:pt idx="52">
                  <c:v>-138.90307514055053</c:v>
                </c:pt>
                <c:pt idx="53">
                  <c:v>-138.90663355024481</c:v>
                </c:pt>
                <c:pt idx="54">
                  <c:v>-138.9102507571437</c:v>
                </c:pt>
                <c:pt idx="55">
                  <c:v>-138.91392633654164</c:v>
                </c:pt>
                <c:pt idx="56">
                  <c:v>-138.91765985633444</c:v>
                </c:pt>
                <c:pt idx="57">
                  <c:v>-138.92145087707939</c:v>
                </c:pt>
                <c:pt idx="58">
                  <c:v>-138.92529895197586</c:v>
                </c:pt>
                <c:pt idx="59">
                  <c:v>-138.92920362693329</c:v>
                </c:pt>
                <c:pt idx="60">
                  <c:v>-138.933164440561</c:v>
                </c:pt>
                <c:pt idx="61">
                  <c:v>-138.93718092424803</c:v>
                </c:pt>
                <c:pt idx="62">
                  <c:v>-138.94125260215378</c:v>
                </c:pt>
                <c:pt idx="63">
                  <c:v>-138.94537899125052</c:v>
                </c:pt>
                <c:pt idx="64">
                  <c:v>-138.94955960138921</c:v>
                </c:pt>
                <c:pt idx="65">
                  <c:v>-138.95379393527901</c:v>
                </c:pt>
                <c:pt idx="66">
                  <c:v>-138.95808148857213</c:v>
                </c:pt>
                <c:pt idx="67">
                  <c:v>-138.96242174987691</c:v>
                </c:pt>
                <c:pt idx="68">
                  <c:v>-138.96681420081245</c:v>
                </c:pt>
                <c:pt idx="69">
                  <c:v>-138.97125831602102</c:v>
                </c:pt>
                <c:pt idx="70">
                  <c:v>-138.97575356324808</c:v>
                </c:pt>
                <c:pt idx="71">
                  <c:v>-138.98029940335027</c:v>
                </c:pt>
                <c:pt idx="72">
                  <c:v>-138.98489529034859</c:v>
                </c:pt>
                <c:pt idx="73">
                  <c:v>-138.98954067149506</c:v>
                </c:pt>
                <c:pt idx="74">
                  <c:v>-138.99423498729203</c:v>
                </c:pt>
                <c:pt idx="75">
                  <c:v>-138.99897767153479</c:v>
                </c:pt>
                <c:pt idx="76">
                  <c:v>-139.00376815140393</c:v>
                </c:pt>
                <c:pt idx="77">
                  <c:v>-139.00860584747227</c:v>
                </c:pt>
                <c:pt idx="78">
                  <c:v>-139.0134901737656</c:v>
                </c:pt>
                <c:pt idx="79">
                  <c:v>-139.0184205378234</c:v>
                </c:pt>
                <c:pt idx="80">
                  <c:v>-139.02339634077029</c:v>
                </c:pt>
                <c:pt idx="81">
                  <c:v>-139.02841697733092</c:v>
                </c:pt>
                <c:pt idx="82">
                  <c:v>-139.03348183591595</c:v>
                </c:pt>
                <c:pt idx="83">
                  <c:v>-139.03859029868985</c:v>
                </c:pt>
                <c:pt idx="84">
                  <c:v>-139.04374174159273</c:v>
                </c:pt>
                <c:pt idx="85">
                  <c:v>-139.04893553446334</c:v>
                </c:pt>
                <c:pt idx="86">
                  <c:v>-139.05417104102835</c:v>
                </c:pt>
                <c:pt idx="87">
                  <c:v>-139.05944761903757</c:v>
                </c:pt>
                <c:pt idx="88">
                  <c:v>-139.06476462027771</c:v>
                </c:pt>
                <c:pt idx="89">
                  <c:v>-139.07012139068425</c:v>
                </c:pt>
                <c:pt idx="90">
                  <c:v>-139.07551727037966</c:v>
                </c:pt>
                <c:pt idx="91">
                  <c:v>-139.08095159375532</c:v>
                </c:pt>
                <c:pt idx="92">
                  <c:v>-139.08642368955557</c:v>
                </c:pt>
                <c:pt idx="93">
                  <c:v>-139.09193288095929</c:v>
                </c:pt>
                <c:pt idx="94">
                  <c:v>-139.09747848560275</c:v>
                </c:pt>
                <c:pt idx="95">
                  <c:v>-139.10305981573617</c:v>
                </c:pt>
                <c:pt idx="96">
                  <c:v>-139.10867617825951</c:v>
                </c:pt>
                <c:pt idx="97">
                  <c:v>-139.11432687481425</c:v>
                </c:pt>
                <c:pt idx="98">
                  <c:v>-139.1200112018615</c:v>
                </c:pt>
                <c:pt idx="99">
                  <c:v>-139.12572845077727</c:v>
                </c:pt>
                <c:pt idx="100">
                  <c:v>-139.13147790794662</c:v>
                </c:pt>
                <c:pt idx="101">
                  <c:v>-139.13725885483001</c:v>
                </c:pt>
                <c:pt idx="102">
                  <c:v>-139.14307056808812</c:v>
                </c:pt>
                <c:pt idx="103">
                  <c:v>-139.14891231964594</c:v>
                </c:pt>
                <c:pt idx="104">
                  <c:v>-139.15478337680693</c:v>
                </c:pt>
                <c:pt idx="105">
                  <c:v>-139.16068300233562</c:v>
                </c:pt>
                <c:pt idx="106">
                  <c:v>-139.1666104545823</c:v>
                </c:pt>
                <c:pt idx="107">
                  <c:v>-139.17256498756421</c:v>
                </c:pt>
                <c:pt idx="108">
                  <c:v>-139.17854585106909</c:v>
                </c:pt>
                <c:pt idx="109">
                  <c:v>-139.18455229075153</c:v>
                </c:pt>
                <c:pt idx="110">
                  <c:v>-139.19058354828476</c:v>
                </c:pt>
                <c:pt idx="111">
                  <c:v>-139.19663886139958</c:v>
                </c:pt>
                <c:pt idx="112">
                  <c:v>-139.20271746409537</c:v>
                </c:pt>
                <c:pt idx="113">
                  <c:v>-139.20881858662898</c:v>
                </c:pt>
                <c:pt idx="114">
                  <c:v>-139.21494145572939</c:v>
                </c:pt>
                <c:pt idx="115">
                  <c:v>-139.2210852946634</c:v>
                </c:pt>
                <c:pt idx="116">
                  <c:v>-139.22724932339668</c:v>
                </c:pt>
                <c:pt idx="117">
                  <c:v>-139.2334327586513</c:v>
                </c:pt>
                <c:pt idx="118">
                  <c:v>-139.23963481410641</c:v>
                </c:pt>
                <c:pt idx="119">
                  <c:v>-139.24585470045099</c:v>
                </c:pt>
                <c:pt idx="120">
                  <c:v>-139.25209162555186</c:v>
                </c:pt>
                <c:pt idx="121">
                  <c:v>-139.258344794593</c:v>
                </c:pt>
                <c:pt idx="122">
                  <c:v>-139.26461341016289</c:v>
                </c:pt>
                <c:pt idx="123">
                  <c:v>-139.27089667241844</c:v>
                </c:pt>
                <c:pt idx="124">
                  <c:v>-139.27719377922332</c:v>
                </c:pt>
                <c:pt idx="125">
                  <c:v>-139.28350392625265</c:v>
                </c:pt>
                <c:pt idx="126">
                  <c:v>-139.28982630717601</c:v>
                </c:pt>
                <c:pt idx="127">
                  <c:v>-139.29616011374677</c:v>
                </c:pt>
                <c:pt idx="128">
                  <c:v>-139.30250453600161</c:v>
                </c:pt>
                <c:pt idx="129">
                  <c:v>-139.30885876235678</c:v>
                </c:pt>
                <c:pt idx="130">
                  <c:v>-139.31522197976346</c:v>
                </c:pt>
                <c:pt idx="131">
                  <c:v>-139.32159337388509</c:v>
                </c:pt>
                <c:pt idx="132">
                  <c:v>-139.32797212920812</c:v>
                </c:pt>
                <c:pt idx="133">
                  <c:v>-139.33435742920526</c:v>
                </c:pt>
                <c:pt idx="134">
                  <c:v>-139.34074845649769</c:v>
                </c:pt>
                <c:pt idx="135">
                  <c:v>-139.34714439301968</c:v>
                </c:pt>
                <c:pt idx="136">
                  <c:v>-139.35354442012971</c:v>
                </c:pt>
                <c:pt idx="137">
                  <c:v>-139.3599477188223</c:v>
                </c:pt>
                <c:pt idx="138">
                  <c:v>-139.36635346983391</c:v>
                </c:pt>
                <c:pt idx="139">
                  <c:v>-139.37276085385821</c:v>
                </c:pt>
                <c:pt idx="140">
                  <c:v>-139.37916905166034</c:v>
                </c:pt>
                <c:pt idx="141">
                  <c:v>-139.38557724427099</c:v>
                </c:pt>
                <c:pt idx="142">
                  <c:v>-139.39198461314942</c:v>
                </c:pt>
                <c:pt idx="143">
                  <c:v>-139.39839034032437</c:v>
                </c:pt>
                <c:pt idx="144">
                  <c:v>-139.40479360858836</c:v>
                </c:pt>
                <c:pt idx="145">
                  <c:v>-139.41119360166394</c:v>
                </c:pt>
                <c:pt idx="146">
                  <c:v>-139.417589504349</c:v>
                </c:pt>
                <c:pt idx="147">
                  <c:v>-139.42398050273755</c:v>
                </c:pt>
                <c:pt idx="148">
                  <c:v>-139.43036578432472</c:v>
                </c:pt>
                <c:pt idx="149">
                  <c:v>-139.43674453824278</c:v>
                </c:pt>
                <c:pt idx="150">
                  <c:v>-139.44311595541262</c:v>
                </c:pt>
                <c:pt idx="151">
                  <c:v>-139.4494792286996</c:v>
                </c:pt>
                <c:pt idx="152">
                  <c:v>-139.45583355311052</c:v>
                </c:pt>
                <c:pt idx="153">
                  <c:v>-139.46217812598928</c:v>
                </c:pt>
                <c:pt idx="154">
                  <c:v>-139.46851214715127</c:v>
                </c:pt>
                <c:pt idx="155">
                  <c:v>-139.47483481909086</c:v>
                </c:pt>
                <c:pt idx="156">
                  <c:v>-139.48114534716663</c:v>
                </c:pt>
                <c:pt idx="157">
                  <c:v>-139.48744293974801</c:v>
                </c:pt>
                <c:pt idx="158">
                  <c:v>-139.49372680845306</c:v>
                </c:pt>
                <c:pt idx="159">
                  <c:v>-139.49999616825539</c:v>
                </c:pt>
                <c:pt idx="160">
                  <c:v>-139.50625023773728</c:v>
                </c:pt>
                <c:pt idx="161">
                  <c:v>-139.51248823920875</c:v>
                </c:pt>
                <c:pt idx="162">
                  <c:v>-139.51870939896475</c:v>
                </c:pt>
                <c:pt idx="163">
                  <c:v>-139.52491294737908</c:v>
                </c:pt>
                <c:pt idx="164">
                  <c:v>-139.53109811915098</c:v>
                </c:pt>
                <c:pt idx="165">
                  <c:v>-139.53726415348288</c:v>
                </c:pt>
                <c:pt idx="166">
                  <c:v>-139.54341029421695</c:v>
                </c:pt>
                <c:pt idx="167">
                  <c:v>-139.54953579007184</c:v>
                </c:pt>
                <c:pt idx="168">
                  <c:v>-139.55563989479188</c:v>
                </c:pt>
                <c:pt idx="169">
                  <c:v>-139.56172186733281</c:v>
                </c:pt>
                <c:pt idx="170">
                  <c:v>-139.56778097207186</c:v>
                </c:pt>
                <c:pt idx="171">
                  <c:v>-139.5738164789343</c:v>
                </c:pt>
                <c:pt idx="172">
                  <c:v>-139.57982766363554</c:v>
                </c:pt>
                <c:pt idx="173">
                  <c:v>-139.58581380780066</c:v>
                </c:pt>
                <c:pt idx="174">
                  <c:v>-139.59177419919479</c:v>
                </c:pt>
                <c:pt idx="175">
                  <c:v>-139.59770813187387</c:v>
                </c:pt>
                <c:pt idx="176">
                  <c:v>-139.60361490636913</c:v>
                </c:pt>
                <c:pt idx="177">
                  <c:v>-139.60949382984725</c:v>
                </c:pt>
                <c:pt idx="178">
                  <c:v>-139.61534421632459</c:v>
                </c:pt>
                <c:pt idx="179">
                  <c:v>-139.6211653867966</c:v>
                </c:pt>
                <c:pt idx="180">
                  <c:v>-139.62695666944933</c:v>
                </c:pt>
                <c:pt idx="181">
                  <c:v>-139.63271739979189</c:v>
                </c:pt>
                <c:pt idx="182">
                  <c:v>-139.63844692085223</c:v>
                </c:pt>
                <c:pt idx="183">
                  <c:v>-139.64414458335668</c:v>
                </c:pt>
                <c:pt idx="184">
                  <c:v>-139.64980974586325</c:v>
                </c:pt>
                <c:pt idx="185">
                  <c:v>-139.65544177495184</c:v>
                </c:pt>
                <c:pt idx="186">
                  <c:v>-139.66104004536956</c:v>
                </c:pt>
                <c:pt idx="187">
                  <c:v>-139.66660394021596</c:v>
                </c:pt>
                <c:pt idx="188">
                  <c:v>-139.67213285107306</c:v>
                </c:pt>
                <c:pt idx="189">
                  <c:v>-139.67762617819847</c:v>
                </c:pt>
                <c:pt idx="190">
                  <c:v>-139.68308333064184</c:v>
                </c:pt>
                <c:pt idx="191">
                  <c:v>-139.68850372642686</c:v>
                </c:pt>
                <c:pt idx="192">
                  <c:v>-139.69388679267584</c:v>
                </c:pt>
                <c:pt idx="193">
                  <c:v>-139.6992319657987</c:v>
                </c:pt>
                <c:pt idx="194">
                  <c:v>-139.70453869158766</c:v>
                </c:pt>
                <c:pt idx="195">
                  <c:v>-139.70980642540388</c:v>
                </c:pt>
                <c:pt idx="196">
                  <c:v>-139.7150346322793</c:v>
                </c:pt>
                <c:pt idx="197">
                  <c:v>-139.72022278709696</c:v>
                </c:pt>
                <c:pt idx="198">
                  <c:v>-139.72537037469434</c:v>
                </c:pt>
                <c:pt idx="199">
                  <c:v>-139.73047688999219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634-4924-B5DF-66A9EC57A495}"/>
            </c:ext>
          </c:extLst>
        </c:ser>
        <c:ser>
          <c:idx val="4"/>
          <c:order val="5"/>
          <c:tx>
            <c:strRef>
              <c:f>Calculate!$H$1</c:f>
              <c:strCache>
                <c:ptCount val="1"/>
                <c:pt idx="0">
                  <c:v>Rx_PSD_us</c:v>
                </c:pt>
              </c:strCache>
            </c:strRef>
          </c:tx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Calculate!$H$2:$H$201</c:f>
              <c:numCache>
                <c:formatCode>0.00</c:formatCode>
                <c:ptCount val="200"/>
                <c:pt idx="0">
                  <c:v>-99.005258561685238</c:v>
                </c:pt>
                <c:pt idx="1">
                  <c:v>-99.721463193142029</c:v>
                </c:pt>
                <c:pt idx="2">
                  <c:v>-100.28511356828561</c:v>
                </c:pt>
                <c:pt idx="3">
                  <c:v>-100.76993723609145</c:v>
                </c:pt>
                <c:pt idx="4">
                  <c:v>-101.20449197190135</c:v>
                </c:pt>
                <c:pt idx="5">
                  <c:v>-101.60342397356061</c:v>
                </c:pt>
                <c:pt idx="6">
                  <c:v>-101.97543378787999</c:v>
                </c:pt>
                <c:pt idx="7">
                  <c:v>-102.32619033698964</c:v>
                </c:pt>
                <c:pt idx="8">
                  <c:v>-102.6596313030489</c:v>
                </c:pt>
                <c:pt idx="9">
                  <c:v>-102.97862372453973</c:v>
                </c:pt>
                <c:pt idx="10">
                  <c:v>-103.28533202055218</c:v>
                </c:pt>
                <c:pt idx="11">
                  <c:v>-103.58143776650645</c:v>
                </c:pt>
                <c:pt idx="12">
                  <c:v>-103.86827826854879</c:v>
                </c:pt>
                <c:pt idx="13">
                  <c:v>-104.14693784720436</c:v>
                </c:pt>
                <c:pt idx="14">
                  <c:v>-104.41831017621412</c:v>
                </c:pt>
                <c:pt idx="15">
                  <c:v>-104.68314216134881</c:v>
                </c:pt>
                <c:pt idx="16">
                  <c:v>-104.94206563087526</c:v>
                </c:pt>
                <c:pt idx="17">
                  <c:v>-105.19562073668693</c:v>
                </c:pt>
                <c:pt idx="18">
                  <c:v>-105.44427357155399</c:v>
                </c:pt>
                <c:pt idx="19">
                  <c:v>-105.68842965932183</c:v>
                </c:pt>
                <c:pt idx="20">
                  <c:v>-105.92844444159088</c:v>
                </c:pt>
                <c:pt idx="21">
                  <c:v>-106.16463153988556</c:v>
                </c:pt>
                <c:pt idx="22">
                  <c:v>-106.39726934423297</c:v>
                </c:pt>
                <c:pt idx="23">
                  <c:v>-106.6266063247362</c:v>
                </c:pt>
                <c:pt idx="24">
                  <c:v>-106.85286535622883</c:v>
                </c:pt>
                <c:pt idx="25">
                  <c:v>-107.07624727129289</c:v>
                </c:pt>
                <c:pt idx="26">
                  <c:v>-107.29693380353213</c:v>
                </c:pt>
                <c:pt idx="27">
                  <c:v>-107.51509004431925</c:v>
                </c:pt>
                <c:pt idx="28">
                  <c:v>-107.7308665078474</c:v>
                </c:pt>
                <c:pt idx="29">
                  <c:v>-107.94440087821594</c:v>
                </c:pt>
                <c:pt idx="30">
                  <c:v>-108.15581949641998</c:v>
                </c:pt>
                <c:pt idx="31">
                  <c:v>-108.36523863306296</c:v>
                </c:pt>
                <c:pt idx="32">
                  <c:v>-108.57276558336756</c:v>
                </c:pt>
                <c:pt idx="33">
                  <c:v>-108.77849961390318</c:v>
                </c:pt>
                <c:pt idx="34">
                  <c:v>-108.98253278486074</c:v>
                </c:pt>
                <c:pt idx="35">
                  <c:v>-109.18495066730684</c:v>
                </c:pt>
                <c:pt idx="36">
                  <c:v>-109.38583297136282</c:v>
                </c:pt>
                <c:pt idx="37">
                  <c:v>-109.58525409846976</c:v>
                </c:pt>
                <c:pt idx="38">
                  <c:v>-109.78328362866174</c:v>
                </c:pt>
                <c:pt idx="39">
                  <c:v>-109.9799867519604</c:v>
                </c:pt>
                <c:pt idx="40">
                  <c:v>-110.17542465153103</c:v>
                </c:pt>
                <c:pt idx="41">
                  <c:v>-110.36965484503551</c:v>
                </c:pt>
                <c:pt idx="42">
                  <c:v>-110.56273148962721</c:v>
                </c:pt>
                <c:pt idx="43">
                  <c:v>-110.75470565521388</c:v>
                </c:pt>
                <c:pt idx="44">
                  <c:v>-110.945625569935</c:v>
                </c:pt>
                <c:pt idx="45">
                  <c:v>-111.13553684123256</c:v>
                </c:pt>
                <c:pt idx="46">
                  <c:v>-111.32448265541927</c:v>
                </c:pt>
                <c:pt idx="47">
                  <c:v>-111.5125039582487</c:v>
                </c:pt>
                <c:pt idx="48">
                  <c:v>-111.69963961865405</c:v>
                </c:pt>
                <c:pt idx="49">
                  <c:v>-111.88592657753635</c:v>
                </c:pt>
                <c:pt idx="50">
                  <c:v>-112.07139998323956</c:v>
                </c:pt>
                <c:pt idx="51">
                  <c:v>-112.25609331514201</c:v>
                </c:pt>
                <c:pt idx="52">
                  <c:v>-112.44003849661608</c:v>
                </c:pt>
                <c:pt idx="53">
                  <c:v>-112.62326599845505</c:v>
                </c:pt>
                <c:pt idx="54">
                  <c:v>-112.80580493373412</c:v>
                </c:pt>
                <c:pt idx="55">
                  <c:v>-112.98768314495925</c:v>
                </c:pt>
                <c:pt idx="56">
                  <c:v>-113.16892728425832</c:v>
                </c:pt>
                <c:pt idx="57">
                  <c:v>-113.34956288728385</c:v>
                </c:pt>
                <c:pt idx="58">
                  <c:v>-113.5296144414215</c:v>
                </c:pt>
                <c:pt idx="59">
                  <c:v>-113.70910544883371</c:v>
                </c:pt>
                <c:pt idx="60">
                  <c:v>-113.88805848481024</c:v>
                </c:pt>
                <c:pt idx="61">
                  <c:v>-114.06649525184797</c:v>
                </c:pt>
                <c:pt idx="62">
                  <c:v>-114.24443662983751</c:v>
                </c:pt>
                <c:pt idx="63">
                  <c:v>-114.42190272269588</c:v>
                </c:pt>
                <c:pt idx="64">
                  <c:v>-114.59891290175011</c:v>
                </c:pt>
                <c:pt idx="65">
                  <c:v>-114.77548584614598</c:v>
                </c:pt>
                <c:pt idx="66">
                  <c:v>-114.95163958052949</c:v>
                </c:pt>
                <c:pt idx="67">
                  <c:v>-115.12739151022471</c:v>
                </c:pt>
                <c:pt idx="68">
                  <c:v>-115.30275845411028</c:v>
                </c:pt>
                <c:pt idx="69">
                  <c:v>-115.47775667537772</c:v>
                </c:pt>
                <c:pt idx="70">
                  <c:v>-115.65240191033834</c:v>
                </c:pt>
                <c:pt idx="71">
                  <c:v>-115.82670939542935</c:v>
                </c:pt>
                <c:pt idx="72">
                  <c:v>-116.00069389255736</c:v>
                </c:pt>
                <c:pt idx="73">
                  <c:v>-116.17436971290437</c:v>
                </c:pt>
                <c:pt idx="74">
                  <c:v>-116.34775073931056</c:v>
                </c:pt>
                <c:pt idx="75">
                  <c:v>-116.52085044733911</c:v>
                </c:pt>
                <c:pt idx="76">
                  <c:v>-116.6936819251178</c:v>
                </c:pt>
                <c:pt idx="77">
                  <c:v>-116.86625789204574</c:v>
                </c:pt>
                <c:pt idx="78">
                  <c:v>-117.03859071644536</c:v>
                </c:pt>
                <c:pt idx="79">
                  <c:v>-117.21069243223339</c:v>
                </c:pt>
                <c:pt idx="80">
                  <c:v>-117.38257475467871</c:v>
                </c:pt>
                <c:pt idx="81">
                  <c:v>-117.55424909530973</c:v>
                </c:pt>
                <c:pt idx="82">
                  <c:v>-117.72572657602819</c:v>
                </c:pt>
                <c:pt idx="83">
                  <c:v>-117.89701804248334</c:v>
                </c:pt>
                <c:pt idx="84">
                  <c:v>-118.06813407675449</c:v>
                </c:pt>
                <c:pt idx="85">
                  <c:v>-118.23908500938788</c:v>
                </c:pt>
                <c:pt idx="86">
                  <c:v>-118.40988093082939</c:v>
                </c:pt>
                <c:pt idx="87">
                  <c:v>-118.58053170229205</c:v>
                </c:pt>
                <c:pt idx="88">
                  <c:v>-118.75104696609392</c:v>
                </c:pt>
                <c:pt idx="89">
                  <c:v>-118.92143615550016</c:v>
                </c:pt>
                <c:pt idx="90">
                  <c:v>-119.0917085040998</c:v>
                </c:pt>
                <c:pt idx="91">
                  <c:v>-119.2618730547463</c:v>
                </c:pt>
                <c:pt idx="92">
                  <c:v>-119.43193866808836</c:v>
                </c:pt>
                <c:pt idx="93">
                  <c:v>-119.6019140307162</c:v>
                </c:pt>
                <c:pt idx="94">
                  <c:v>-119.77180766294626</c:v>
                </c:pt>
                <c:pt idx="95">
                  <c:v>-119.94162792626621</c:v>
                </c:pt>
                <c:pt idx="96">
                  <c:v>-120.11138303046033</c:v>
                </c:pt>
                <c:pt idx="97">
                  <c:v>-120.28108104043427</c:v>
                </c:pt>
                <c:pt idx="98">
                  <c:v>-120.45072988275673</c:v>
                </c:pt>
                <c:pt idx="99">
                  <c:v>-120.62033735193475</c:v>
                </c:pt>
                <c:pt idx="100">
                  <c:v>-120.78991111643805</c:v>
                </c:pt>
                <c:pt idx="101">
                  <c:v>-120.95945872448694</c:v>
                </c:pt>
                <c:pt idx="102">
                  <c:v>-121.12898760961735</c:v>
                </c:pt>
                <c:pt idx="103">
                  <c:v>-121.29850509603605</c:v>
                </c:pt>
                <c:pt idx="104">
                  <c:v>-121.46801840377782</c:v>
                </c:pt>
                <c:pt idx="105">
                  <c:v>-121.63753465367597</c:v>
                </c:pt>
                <c:pt idx="106">
                  <c:v>-121.80706087215705</c:v>
                </c:pt>
                <c:pt idx="107">
                  <c:v>-121.97660399586965</c:v>
                </c:pt>
                <c:pt idx="108">
                  <c:v>-122.14617087615666</c:v>
                </c:pt>
                <c:pt idx="109">
                  <c:v>-122.31576828338029</c:v>
                </c:pt>
                <c:pt idx="110">
                  <c:v>-122.48540291110798</c:v>
                </c:pt>
                <c:pt idx="111">
                  <c:v>-122.65508138016747</c:v>
                </c:pt>
                <c:pt idx="112">
                  <c:v>-122.82481024257844</c:v>
                </c:pt>
                <c:pt idx="113">
                  <c:v>-122.99459598536792</c:v>
                </c:pt>
                <c:pt idx="114">
                  <c:v>-123.16444503427644</c:v>
                </c:pt>
                <c:pt idx="115">
                  <c:v>-123.33436375736133</c:v>
                </c:pt>
                <c:pt idx="116">
                  <c:v>-123.50435846850316</c:v>
                </c:pt>
                <c:pt idx="117">
                  <c:v>-123.67443543082155</c:v>
                </c:pt>
                <c:pt idx="118">
                  <c:v>-123.84460086000558</c:v>
                </c:pt>
                <c:pt idx="119">
                  <c:v>-124.01486092756448</c:v>
                </c:pt>
                <c:pt idx="120">
                  <c:v>-124.18522176400323</c:v>
                </c:pt>
                <c:pt idx="121">
                  <c:v>-124.35568946192863</c:v>
                </c:pt>
                <c:pt idx="122">
                  <c:v>-124.52627007908978</c:v>
                </c:pt>
                <c:pt idx="123">
                  <c:v>-124.69696964135801</c:v>
                </c:pt>
                <c:pt idx="124">
                  <c:v>-124.86779414565032</c:v>
                </c:pt>
                <c:pt idx="125">
                  <c:v>-125.0387495628005</c:v>
                </c:pt>
                <c:pt idx="126">
                  <c:v>-125.20984184038196</c:v>
                </c:pt>
                <c:pt idx="127">
                  <c:v>-125.38107690548603</c:v>
                </c:pt>
                <c:pt idx="128">
                  <c:v>-125.55246066745973</c:v>
                </c:pt>
                <c:pt idx="129">
                  <c:v>-125.72399902060619</c:v>
                </c:pt>
                <c:pt idx="130">
                  <c:v>-125.89569784685163</c:v>
                </c:pt>
                <c:pt idx="131">
                  <c:v>-126.06756301838206</c:v>
                </c:pt>
                <c:pt idx="132">
                  <c:v>-126.23960040025297</c:v>
                </c:pt>
                <c:pt idx="133">
                  <c:v>-126.41181585297564</c:v>
                </c:pt>
                <c:pt idx="134">
                  <c:v>-126.58421523508254</c:v>
                </c:pt>
                <c:pt idx="135">
                  <c:v>-126.75680440567565</c:v>
                </c:pt>
                <c:pt idx="136">
                  <c:v>-126.92958922696013</c:v>
                </c:pt>
                <c:pt idx="137">
                  <c:v>-127.10257556676676</c:v>
                </c:pt>
                <c:pt idx="138">
                  <c:v>-127.27576930106578</c:v>
                </c:pt>
                <c:pt idx="139">
                  <c:v>-127.44917631647519</c:v>
                </c:pt>
                <c:pt idx="140">
                  <c:v>-127.62280251276641</c:v>
                </c:pt>
                <c:pt idx="141">
                  <c:v>-127.79665380537</c:v>
                </c:pt>
                <c:pt idx="142">
                  <c:v>-127.97073612788428</c:v>
                </c:pt>
                <c:pt idx="143">
                  <c:v>-128.14505543459003</c:v>
                </c:pt>
                <c:pt idx="144">
                  <c:v>-128.31961770297343</c:v>
                </c:pt>
                <c:pt idx="145">
                  <c:v>-128.4944289362607</c:v>
                </c:pt>
                <c:pt idx="146">
                  <c:v>-128.66949516596671</c:v>
                </c:pt>
                <c:pt idx="147">
                  <c:v>-128.844822454461</c:v>
                </c:pt>
                <c:pt idx="148">
                  <c:v>-129.02041689755339</c:v>
                </c:pt>
                <c:pt idx="149">
                  <c:v>-129.19628462710267</c:v>
                </c:pt>
                <c:pt idx="150">
                  <c:v>-129.37243181365068</c:v>
                </c:pt>
                <c:pt idx="151">
                  <c:v>-129.54886466908545</c:v>
                </c:pt>
                <c:pt idx="152">
                  <c:v>-129.72558944933562</c:v>
                </c:pt>
                <c:pt idx="153">
                  <c:v>-129.90261245709979</c:v>
                </c:pt>
                <c:pt idx="154">
                  <c:v>-130.07994004461349</c:v>
                </c:pt>
                <c:pt idx="155">
                  <c:v>-130.25757861645738</c:v>
                </c:pt>
                <c:pt idx="156">
                  <c:v>-130.43553463240914</c:v>
                </c:pt>
                <c:pt idx="157">
                  <c:v>-130.61381461034341</c:v>
                </c:pt>
                <c:pt idx="158">
                  <c:v>-130.79242512918222</c:v>
                </c:pt>
                <c:pt idx="159">
                  <c:v>-130.9713728318998</c:v>
                </c:pt>
                <c:pt idx="160">
                  <c:v>-131.15066442858569</c:v>
                </c:pt>
                <c:pt idx="161">
                  <c:v>-131.33030669956906</c:v>
                </c:pt>
                <c:pt idx="162">
                  <c:v>-131.51030649860871</c:v>
                </c:pt>
                <c:pt idx="163">
                  <c:v>-131.69067075615243</c:v>
                </c:pt>
                <c:pt idx="164">
                  <c:v>-131.87140648266978</c:v>
                </c:pt>
                <c:pt idx="165">
                  <c:v>-132.05252077206251</c:v>
                </c:pt>
                <c:pt idx="166">
                  <c:v>-132.23402080515706</c:v>
                </c:pt>
                <c:pt idx="167">
                  <c:v>-132.41591385328363</c:v>
                </c:pt>
                <c:pt idx="168">
                  <c:v>-132.59820728194646</c:v>
                </c:pt>
                <c:pt idx="169">
                  <c:v>-132.78090855459033</c:v>
                </c:pt>
                <c:pt idx="170">
                  <c:v>-132.96402523646825</c:v>
                </c:pt>
                <c:pt idx="171">
                  <c:v>-133.14756499861579</c:v>
                </c:pt>
                <c:pt idx="172">
                  <c:v>-133.33153562193746</c:v>
                </c:pt>
                <c:pt idx="173">
                  <c:v>-133.51594500141113</c:v>
                </c:pt>
                <c:pt idx="174">
                  <c:v>-133.70080115041591</c:v>
                </c:pt>
                <c:pt idx="175">
                  <c:v>-133.88611220519101</c:v>
                </c:pt>
                <c:pt idx="176">
                  <c:v>-134.07188642943063</c:v>
                </c:pt>
                <c:pt idx="177">
                  <c:v>-134.25813221902325</c:v>
                </c:pt>
                <c:pt idx="178">
                  <c:v>-134.44485810694147</c:v>
                </c:pt>
                <c:pt idx="179">
                  <c:v>-134.63207276829061</c:v>
                </c:pt>
                <c:pt idx="180">
                  <c:v>-134.81978502552397</c:v>
                </c:pt>
                <c:pt idx="181">
                  <c:v>-135.00800385383266</c:v>
                </c:pt>
                <c:pt idx="182">
                  <c:v>-135.19673838671963</c:v>
                </c:pt>
                <c:pt idx="183">
                  <c:v>-135.38599792176629</c:v>
                </c:pt>
                <c:pt idx="184">
                  <c:v>-135.57579192660182</c:v>
                </c:pt>
                <c:pt idx="185">
                  <c:v>-135.76613004508565</c:v>
                </c:pt>
                <c:pt idx="186">
                  <c:v>-135.9570221037134</c:v>
                </c:pt>
                <c:pt idx="187">
                  <c:v>-136.148478118258</c:v>
                </c:pt>
                <c:pt idx="188">
                  <c:v>-136.3405083006578</c:v>
                </c:pt>
                <c:pt idx="189">
                  <c:v>-136.53312306616425</c:v>
                </c:pt>
                <c:pt idx="190">
                  <c:v>-136.726333040763</c:v>
                </c:pt>
                <c:pt idx="191">
                  <c:v>-136.9201490688815</c:v>
                </c:pt>
                <c:pt idx="192">
                  <c:v>-137.11458222139927</c:v>
                </c:pt>
                <c:pt idx="193">
                  <c:v>-137.30964380397558</c:v>
                </c:pt>
                <c:pt idx="194">
                  <c:v>-137.50534536571158</c:v>
                </c:pt>
                <c:pt idx="195">
                  <c:v>-137.70169870816483</c:v>
                </c:pt>
                <c:pt idx="196">
                  <c:v>-137.89871589473429</c:v>
                </c:pt>
                <c:pt idx="197">
                  <c:v>-138.09640926043645</c:v>
                </c:pt>
                <c:pt idx="198">
                  <c:v>-138.29479142209254</c:v>
                </c:pt>
                <c:pt idx="199">
                  <c:v>-138.49387528895028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634-4924-B5DF-66A9EC57A495}"/>
            </c:ext>
          </c:extLst>
        </c:ser>
        <c:ser>
          <c:idx val="5"/>
          <c:order val="6"/>
          <c:tx>
            <c:strRef>
              <c:f>Calculate!$I$1</c:f>
              <c:strCache>
                <c:ptCount val="1"/>
                <c:pt idx="0">
                  <c:v>Rx_PSD_ds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Calculate!$I$2:$I$201</c:f>
              <c:numCache>
                <c:formatCode>0.00</c:formatCode>
                <c:ptCount val="200"/>
                <c:pt idx="0">
                  <c:v>-99.005258561685238</c:v>
                </c:pt>
                <c:pt idx="1">
                  <c:v>-99.721463193142029</c:v>
                </c:pt>
                <c:pt idx="2">
                  <c:v>-100.28511356828561</c:v>
                </c:pt>
                <c:pt idx="3">
                  <c:v>-100.76993723609145</c:v>
                </c:pt>
                <c:pt idx="4">
                  <c:v>-101.20449197190135</c:v>
                </c:pt>
                <c:pt idx="5">
                  <c:v>-101.60342397356061</c:v>
                </c:pt>
                <c:pt idx="6">
                  <c:v>-101.97543378787999</c:v>
                </c:pt>
                <c:pt idx="7">
                  <c:v>-102.32619033698964</c:v>
                </c:pt>
                <c:pt idx="8">
                  <c:v>-102.6596313030489</c:v>
                </c:pt>
                <c:pt idx="9">
                  <c:v>-102.97862372453973</c:v>
                </c:pt>
                <c:pt idx="10">
                  <c:v>-103.28533202055218</c:v>
                </c:pt>
                <c:pt idx="11">
                  <c:v>-103.58143776650645</c:v>
                </c:pt>
                <c:pt idx="12">
                  <c:v>-103.86827826854879</c:v>
                </c:pt>
                <c:pt idx="13">
                  <c:v>-104.14693784720436</c:v>
                </c:pt>
                <c:pt idx="14">
                  <c:v>-104.41831017621412</c:v>
                </c:pt>
                <c:pt idx="15">
                  <c:v>-104.68314216134881</c:v>
                </c:pt>
                <c:pt idx="16">
                  <c:v>-104.94206563087526</c:v>
                </c:pt>
                <c:pt idx="17">
                  <c:v>-105.19562073668693</c:v>
                </c:pt>
                <c:pt idx="18">
                  <c:v>-105.44427357155399</c:v>
                </c:pt>
                <c:pt idx="19">
                  <c:v>-105.68842965932183</c:v>
                </c:pt>
                <c:pt idx="20">
                  <c:v>-105.92844444159088</c:v>
                </c:pt>
                <c:pt idx="21">
                  <c:v>-106.16463153988556</c:v>
                </c:pt>
                <c:pt idx="22">
                  <c:v>-106.39726934423297</c:v>
                </c:pt>
                <c:pt idx="23">
                  <c:v>-106.6266063247362</c:v>
                </c:pt>
                <c:pt idx="24">
                  <c:v>-106.85286535622883</c:v>
                </c:pt>
                <c:pt idx="25">
                  <c:v>-107.07624727129289</c:v>
                </c:pt>
                <c:pt idx="26">
                  <c:v>-107.29693380353213</c:v>
                </c:pt>
                <c:pt idx="27">
                  <c:v>-107.51509004431925</c:v>
                </c:pt>
                <c:pt idx="28">
                  <c:v>-107.7308665078474</c:v>
                </c:pt>
                <c:pt idx="29">
                  <c:v>-107.94440087821594</c:v>
                </c:pt>
                <c:pt idx="30">
                  <c:v>-108.15581949641998</c:v>
                </c:pt>
                <c:pt idx="31">
                  <c:v>-108.36523863306296</c:v>
                </c:pt>
                <c:pt idx="32">
                  <c:v>-108.57276558336756</c:v>
                </c:pt>
                <c:pt idx="33">
                  <c:v>-108.77849961390318</c:v>
                </c:pt>
                <c:pt idx="34">
                  <c:v>-108.98253278486074</c:v>
                </c:pt>
                <c:pt idx="35">
                  <c:v>-109.18495066730684</c:v>
                </c:pt>
                <c:pt idx="36">
                  <c:v>-109.38583297136282</c:v>
                </c:pt>
                <c:pt idx="37">
                  <c:v>-109.58525409846976</c:v>
                </c:pt>
                <c:pt idx="38">
                  <c:v>-109.78328362866174</c:v>
                </c:pt>
                <c:pt idx="39">
                  <c:v>-109.9799867519604</c:v>
                </c:pt>
                <c:pt idx="40">
                  <c:v>-110.17542465153103</c:v>
                </c:pt>
                <c:pt idx="41">
                  <c:v>-110.36965484503551</c:v>
                </c:pt>
                <c:pt idx="42">
                  <c:v>-110.56273148962721</c:v>
                </c:pt>
                <c:pt idx="43">
                  <c:v>-110.75470565521388</c:v>
                </c:pt>
                <c:pt idx="44">
                  <c:v>-110.945625569935</c:v>
                </c:pt>
                <c:pt idx="45">
                  <c:v>-111.13553684123256</c:v>
                </c:pt>
                <c:pt idx="46">
                  <c:v>-111.32448265541927</c:v>
                </c:pt>
                <c:pt idx="47">
                  <c:v>-111.5125039582487</c:v>
                </c:pt>
                <c:pt idx="48">
                  <c:v>-111.69963961865405</c:v>
                </c:pt>
                <c:pt idx="49">
                  <c:v>-111.88592657753635</c:v>
                </c:pt>
                <c:pt idx="50">
                  <c:v>-112.07139998323956</c:v>
                </c:pt>
                <c:pt idx="51">
                  <c:v>-112.25609331514201</c:v>
                </c:pt>
                <c:pt idx="52">
                  <c:v>-112.44003849661608</c:v>
                </c:pt>
                <c:pt idx="53">
                  <c:v>-112.62326599845505</c:v>
                </c:pt>
                <c:pt idx="54">
                  <c:v>-112.80580493373412</c:v>
                </c:pt>
                <c:pt idx="55">
                  <c:v>-112.98768314495925</c:v>
                </c:pt>
                <c:pt idx="56">
                  <c:v>-113.16892728425832</c:v>
                </c:pt>
                <c:pt idx="57">
                  <c:v>-113.34956288728385</c:v>
                </c:pt>
                <c:pt idx="58">
                  <c:v>-113.5296144414215</c:v>
                </c:pt>
                <c:pt idx="59">
                  <c:v>-113.70910544883371</c:v>
                </c:pt>
                <c:pt idx="60">
                  <c:v>-113.88805848481024</c:v>
                </c:pt>
                <c:pt idx="61">
                  <c:v>-114.06649525184797</c:v>
                </c:pt>
                <c:pt idx="62">
                  <c:v>-114.24443662983751</c:v>
                </c:pt>
                <c:pt idx="63">
                  <c:v>-114.42190272269588</c:v>
                </c:pt>
                <c:pt idx="64">
                  <c:v>-114.59891290175011</c:v>
                </c:pt>
                <c:pt idx="65">
                  <c:v>-114.77548584614598</c:v>
                </c:pt>
                <c:pt idx="66">
                  <c:v>-114.95163958052949</c:v>
                </c:pt>
                <c:pt idx="67">
                  <c:v>-115.12739151022471</c:v>
                </c:pt>
                <c:pt idx="68">
                  <c:v>-115.30275845411028</c:v>
                </c:pt>
                <c:pt idx="69">
                  <c:v>-115.47775667537772</c:v>
                </c:pt>
                <c:pt idx="70">
                  <c:v>-115.65240191033834</c:v>
                </c:pt>
                <c:pt idx="71">
                  <c:v>-115.82670939542935</c:v>
                </c:pt>
                <c:pt idx="72">
                  <c:v>-116.00069389255736</c:v>
                </c:pt>
                <c:pt idx="73">
                  <c:v>-116.17436971290437</c:v>
                </c:pt>
                <c:pt idx="74">
                  <c:v>-116.34775073931056</c:v>
                </c:pt>
                <c:pt idx="75">
                  <c:v>-116.52085044733911</c:v>
                </c:pt>
                <c:pt idx="76">
                  <c:v>-116.6936819251178</c:v>
                </c:pt>
                <c:pt idx="77">
                  <c:v>-116.86625789204574</c:v>
                </c:pt>
                <c:pt idx="78">
                  <c:v>-117.03859071644536</c:v>
                </c:pt>
                <c:pt idx="79">
                  <c:v>-117.21069243223339</c:v>
                </c:pt>
                <c:pt idx="80">
                  <c:v>-117.38257475467871</c:v>
                </c:pt>
                <c:pt idx="81">
                  <c:v>-117.55424909530973</c:v>
                </c:pt>
                <c:pt idx="82">
                  <c:v>-117.72572657602819</c:v>
                </c:pt>
                <c:pt idx="83">
                  <c:v>-117.89701804248334</c:v>
                </c:pt>
                <c:pt idx="84">
                  <c:v>-118.06813407675449</c:v>
                </c:pt>
                <c:pt idx="85">
                  <c:v>-118.23908500938788</c:v>
                </c:pt>
                <c:pt idx="86">
                  <c:v>-118.40988093082939</c:v>
                </c:pt>
                <c:pt idx="87">
                  <c:v>-118.58053170229205</c:v>
                </c:pt>
                <c:pt idx="88">
                  <c:v>-118.75104696609392</c:v>
                </c:pt>
                <c:pt idx="89">
                  <c:v>-118.92143615550016</c:v>
                </c:pt>
                <c:pt idx="90">
                  <c:v>-119.0917085040998</c:v>
                </c:pt>
                <c:pt idx="91">
                  <c:v>-119.2618730547463</c:v>
                </c:pt>
                <c:pt idx="92">
                  <c:v>-119.43193866808836</c:v>
                </c:pt>
                <c:pt idx="93">
                  <c:v>-119.6019140307162</c:v>
                </c:pt>
                <c:pt idx="94">
                  <c:v>-119.77180766294626</c:v>
                </c:pt>
                <c:pt idx="95">
                  <c:v>-119.94162792626621</c:v>
                </c:pt>
                <c:pt idx="96">
                  <c:v>-120.11138303046033</c:v>
                </c:pt>
                <c:pt idx="97">
                  <c:v>-120.28108104043427</c:v>
                </c:pt>
                <c:pt idx="98">
                  <c:v>-120.45072988275673</c:v>
                </c:pt>
                <c:pt idx="99">
                  <c:v>-120.62033735193475</c:v>
                </c:pt>
                <c:pt idx="100">
                  <c:v>-120.78991111643805</c:v>
                </c:pt>
                <c:pt idx="101">
                  <c:v>-120.95945872448694</c:v>
                </c:pt>
                <c:pt idx="102">
                  <c:v>-121.12898760961735</c:v>
                </c:pt>
                <c:pt idx="103">
                  <c:v>-121.29850509603605</c:v>
                </c:pt>
                <c:pt idx="104">
                  <c:v>-121.46801840377782</c:v>
                </c:pt>
                <c:pt idx="105">
                  <c:v>-121.63753465367597</c:v>
                </c:pt>
                <c:pt idx="106">
                  <c:v>-121.80706087215705</c:v>
                </c:pt>
                <c:pt idx="107">
                  <c:v>-121.97660399586965</c:v>
                </c:pt>
                <c:pt idx="108">
                  <c:v>-122.14617087615666</c:v>
                </c:pt>
                <c:pt idx="109">
                  <c:v>-122.31576828338029</c:v>
                </c:pt>
                <c:pt idx="110">
                  <c:v>-122.48540291110798</c:v>
                </c:pt>
                <c:pt idx="111">
                  <c:v>-122.65508138016747</c:v>
                </c:pt>
                <c:pt idx="112">
                  <c:v>-122.82481024257844</c:v>
                </c:pt>
                <c:pt idx="113">
                  <c:v>-122.99459598536792</c:v>
                </c:pt>
                <c:pt idx="114">
                  <c:v>-123.16444503427644</c:v>
                </c:pt>
                <c:pt idx="115">
                  <c:v>-123.33436375736133</c:v>
                </c:pt>
                <c:pt idx="116">
                  <c:v>-123.50435846850316</c:v>
                </c:pt>
                <c:pt idx="117">
                  <c:v>-123.67443543082155</c:v>
                </c:pt>
                <c:pt idx="118">
                  <c:v>-123.84460086000558</c:v>
                </c:pt>
                <c:pt idx="119">
                  <c:v>-124.01486092756448</c:v>
                </c:pt>
                <c:pt idx="120">
                  <c:v>-124.18522176400323</c:v>
                </c:pt>
                <c:pt idx="121">
                  <c:v>-124.35568946192863</c:v>
                </c:pt>
                <c:pt idx="122">
                  <c:v>-124.52627007908978</c:v>
                </c:pt>
                <c:pt idx="123">
                  <c:v>-124.69696964135801</c:v>
                </c:pt>
                <c:pt idx="124">
                  <c:v>-124.86779414565032</c:v>
                </c:pt>
                <c:pt idx="125">
                  <c:v>-125.0387495628005</c:v>
                </c:pt>
                <c:pt idx="126">
                  <c:v>-125.20984184038196</c:v>
                </c:pt>
                <c:pt idx="127">
                  <c:v>-125.38107690548603</c:v>
                </c:pt>
                <c:pt idx="128">
                  <c:v>-125.55246066745973</c:v>
                </c:pt>
                <c:pt idx="129">
                  <c:v>-125.72399902060619</c:v>
                </c:pt>
                <c:pt idx="130">
                  <c:v>-125.89569784685163</c:v>
                </c:pt>
                <c:pt idx="131">
                  <c:v>-126.06756301838206</c:v>
                </c:pt>
                <c:pt idx="132">
                  <c:v>-126.23960040025297</c:v>
                </c:pt>
                <c:pt idx="133">
                  <c:v>-126.41181585297564</c:v>
                </c:pt>
                <c:pt idx="134">
                  <c:v>-126.58421523508254</c:v>
                </c:pt>
                <c:pt idx="135">
                  <c:v>-126.75680440567565</c:v>
                </c:pt>
                <c:pt idx="136">
                  <c:v>-126.92958922696013</c:v>
                </c:pt>
                <c:pt idx="137">
                  <c:v>-127.10257556676676</c:v>
                </c:pt>
                <c:pt idx="138">
                  <c:v>-127.27576930106578</c:v>
                </c:pt>
                <c:pt idx="139">
                  <c:v>-127.44917631647519</c:v>
                </c:pt>
                <c:pt idx="140">
                  <c:v>-127.62280251276641</c:v>
                </c:pt>
                <c:pt idx="141">
                  <c:v>-127.79665380537</c:v>
                </c:pt>
                <c:pt idx="142">
                  <c:v>-127.97073612788428</c:v>
                </c:pt>
                <c:pt idx="143">
                  <c:v>-128.14505543459003</c:v>
                </c:pt>
                <c:pt idx="144">
                  <c:v>-128.31961770297343</c:v>
                </c:pt>
                <c:pt idx="145">
                  <c:v>-128.4944289362607</c:v>
                </c:pt>
                <c:pt idx="146">
                  <c:v>-128.66949516596671</c:v>
                </c:pt>
                <c:pt idx="147">
                  <c:v>-128.844822454461</c:v>
                </c:pt>
                <c:pt idx="148">
                  <c:v>-129.02041689755339</c:v>
                </c:pt>
                <c:pt idx="149">
                  <c:v>-129.19628462710267</c:v>
                </c:pt>
                <c:pt idx="150">
                  <c:v>-129.37243181365068</c:v>
                </c:pt>
                <c:pt idx="151">
                  <c:v>-129.54886466908545</c:v>
                </c:pt>
                <c:pt idx="152">
                  <c:v>-129.72558944933562</c:v>
                </c:pt>
                <c:pt idx="153">
                  <c:v>-129.90261245709979</c:v>
                </c:pt>
                <c:pt idx="154">
                  <c:v>-130.07994004461349</c:v>
                </c:pt>
                <c:pt idx="155">
                  <c:v>-130.25757861645738</c:v>
                </c:pt>
                <c:pt idx="156">
                  <c:v>-130.43553463240914</c:v>
                </c:pt>
                <c:pt idx="157">
                  <c:v>-130.61381461034341</c:v>
                </c:pt>
                <c:pt idx="158">
                  <c:v>-130.79242512918222</c:v>
                </c:pt>
                <c:pt idx="159">
                  <c:v>-130.9713728318998</c:v>
                </c:pt>
                <c:pt idx="160">
                  <c:v>-131.15066442858569</c:v>
                </c:pt>
                <c:pt idx="161">
                  <c:v>-131.33030669956906</c:v>
                </c:pt>
                <c:pt idx="162">
                  <c:v>-131.51030649860871</c:v>
                </c:pt>
                <c:pt idx="163">
                  <c:v>-131.69067075615243</c:v>
                </c:pt>
                <c:pt idx="164">
                  <c:v>-131.87140648266978</c:v>
                </c:pt>
                <c:pt idx="165">
                  <c:v>-132.05252077206251</c:v>
                </c:pt>
                <c:pt idx="166">
                  <c:v>-132.23402080515706</c:v>
                </c:pt>
                <c:pt idx="167">
                  <c:v>-132.41591385328363</c:v>
                </c:pt>
                <c:pt idx="168">
                  <c:v>-132.59820728194646</c:v>
                </c:pt>
                <c:pt idx="169">
                  <c:v>-132.78090855459033</c:v>
                </c:pt>
                <c:pt idx="170">
                  <c:v>-132.96402523646825</c:v>
                </c:pt>
                <c:pt idx="171">
                  <c:v>-133.14756499861579</c:v>
                </c:pt>
                <c:pt idx="172">
                  <c:v>-133.33153562193746</c:v>
                </c:pt>
                <c:pt idx="173">
                  <c:v>-133.51594500141113</c:v>
                </c:pt>
                <c:pt idx="174">
                  <c:v>-133.70080115041591</c:v>
                </c:pt>
                <c:pt idx="175">
                  <c:v>-133.88611220519101</c:v>
                </c:pt>
                <c:pt idx="176">
                  <c:v>-134.07188642943063</c:v>
                </c:pt>
                <c:pt idx="177">
                  <c:v>-134.25813221902325</c:v>
                </c:pt>
                <c:pt idx="178">
                  <c:v>-134.44485810694147</c:v>
                </c:pt>
                <c:pt idx="179">
                  <c:v>-134.63207276829061</c:v>
                </c:pt>
                <c:pt idx="180">
                  <c:v>-134.81978502552397</c:v>
                </c:pt>
                <c:pt idx="181">
                  <c:v>-135.00800385383266</c:v>
                </c:pt>
                <c:pt idx="182">
                  <c:v>-135.19673838671963</c:v>
                </c:pt>
                <c:pt idx="183">
                  <c:v>-135.38599792176629</c:v>
                </c:pt>
                <c:pt idx="184">
                  <c:v>-135.57579192660182</c:v>
                </c:pt>
                <c:pt idx="185">
                  <c:v>-135.76613004508565</c:v>
                </c:pt>
                <c:pt idx="186">
                  <c:v>-135.9570221037134</c:v>
                </c:pt>
                <c:pt idx="187">
                  <c:v>-136.148478118258</c:v>
                </c:pt>
                <c:pt idx="188">
                  <c:v>-136.3405083006578</c:v>
                </c:pt>
                <c:pt idx="189">
                  <c:v>-136.53312306616425</c:v>
                </c:pt>
                <c:pt idx="190">
                  <c:v>-136.726333040763</c:v>
                </c:pt>
                <c:pt idx="191">
                  <c:v>-136.9201490688815</c:v>
                </c:pt>
                <c:pt idx="192">
                  <c:v>-137.11458222139927</c:v>
                </c:pt>
                <c:pt idx="193">
                  <c:v>-137.30964380397558</c:v>
                </c:pt>
                <c:pt idx="194">
                  <c:v>-137.50534536571158</c:v>
                </c:pt>
                <c:pt idx="195">
                  <c:v>-137.70169870816483</c:v>
                </c:pt>
                <c:pt idx="196">
                  <c:v>-137.89871589473429</c:v>
                </c:pt>
                <c:pt idx="197">
                  <c:v>-138.09640926043645</c:v>
                </c:pt>
                <c:pt idx="198">
                  <c:v>-138.29479142209254</c:v>
                </c:pt>
                <c:pt idx="199">
                  <c:v>-138.49387528895028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634-4924-B5DF-66A9EC57A495}"/>
            </c:ext>
          </c:extLst>
        </c:ser>
        <c:ser>
          <c:idx val="14"/>
          <c:order val="15"/>
          <c:tx>
            <c:strRef>
              <c:f>Calculate!$R$1</c:f>
              <c:strCache>
                <c:ptCount val="1"/>
                <c:pt idx="0">
                  <c:v>Echo_res_us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  <c:extLst xmlns:c15="http://schemas.microsoft.com/office/drawing/2012/chart"/>
            </c:numRef>
          </c:xVal>
          <c:yVal>
            <c:numRef>
              <c:f>Calculate!$R$2:$R$201</c:f>
              <c:numCache>
                <c:formatCode>0.00</c:formatCode>
                <c:ptCount val="200"/>
                <c:pt idx="0">
                  <c:v>-145.00128545127743</c:v>
                </c:pt>
                <c:pt idx="1">
                  <c:v>-145.00172437729864</c:v>
                </c:pt>
                <c:pt idx="2">
                  <c:v>-145.002455940385</c:v>
                </c:pt>
                <c:pt idx="3">
                  <c:v>-145.003480170117</c:v>
                </c:pt>
                <c:pt idx="4">
                  <c:v>-145.00479710791049</c:v>
                </c:pt>
                <c:pt idx="5">
                  <c:v>-145.0064068070366</c:v>
                </c:pt>
                <c:pt idx="6">
                  <c:v>-145.0083093326152</c:v>
                </c:pt>
                <c:pt idx="7">
                  <c:v>-145.01050476164832</c:v>
                </c:pt>
                <c:pt idx="8">
                  <c:v>-145.01299318300858</c:v>
                </c:pt>
                <c:pt idx="9">
                  <c:v>-145.01577469748435</c:v>
                </c:pt>
                <c:pt idx="10">
                  <c:v>-145.01884941778144</c:v>
                </c:pt>
                <c:pt idx="11">
                  <c:v>-145.02221746854903</c:v>
                </c:pt>
                <c:pt idx="12">
                  <c:v>-145.02587898640425</c:v>
                </c:pt>
                <c:pt idx="13">
                  <c:v>-145.02983411995723</c:v>
                </c:pt>
                <c:pt idx="14">
                  <c:v>-145.03408302983954</c:v>
                </c:pt>
                <c:pt idx="15">
                  <c:v>-145.03862588874188</c:v>
                </c:pt>
                <c:pt idx="16">
                  <c:v>-145.04346288144436</c:v>
                </c:pt>
                <c:pt idx="17">
                  <c:v>-145.04859420484914</c:v>
                </c:pt>
                <c:pt idx="18">
                  <c:v>-145.05402006800432</c:v>
                </c:pt>
                <c:pt idx="19">
                  <c:v>-145.05974069218593</c:v>
                </c:pt>
                <c:pt idx="20">
                  <c:v>-145.06575631090701</c:v>
                </c:pt>
                <c:pt idx="21">
                  <c:v>-145.0720671699606</c:v>
                </c:pt>
                <c:pt idx="22">
                  <c:v>-145.07867352749111</c:v>
                </c:pt>
                <c:pt idx="23">
                  <c:v>-145.08557565402734</c:v>
                </c:pt>
                <c:pt idx="24">
                  <c:v>-145.09277383256077</c:v>
                </c:pt>
                <c:pt idx="25">
                  <c:v>-145.10026835854759</c:v>
                </c:pt>
                <c:pt idx="26">
                  <c:v>-145.10805954001967</c:v>
                </c:pt>
                <c:pt idx="27">
                  <c:v>-145.11614769764742</c:v>
                </c:pt>
                <c:pt idx="28">
                  <c:v>-145.12453316471894</c:v>
                </c:pt>
                <c:pt idx="29">
                  <c:v>-145.13321628735756</c:v>
                </c:pt>
                <c:pt idx="30">
                  <c:v>-145.14219742443044</c:v>
                </c:pt>
                <c:pt idx="31">
                  <c:v>-145.15147694771602</c:v>
                </c:pt>
                <c:pt idx="32">
                  <c:v>-145.16105524198531</c:v>
                </c:pt>
                <c:pt idx="33">
                  <c:v>-145.17093270499362</c:v>
                </c:pt>
                <c:pt idx="34">
                  <c:v>-145.18110974765884</c:v>
                </c:pt>
                <c:pt idx="35">
                  <c:v>-145.19158679407917</c:v>
                </c:pt>
                <c:pt idx="36">
                  <c:v>-145.20236428164009</c:v>
                </c:pt>
                <c:pt idx="37">
                  <c:v>-145.2134426610865</c:v>
                </c:pt>
                <c:pt idx="38">
                  <c:v>-145.22482239668687</c:v>
                </c:pt>
                <c:pt idx="39">
                  <c:v>-145.2365039662084</c:v>
                </c:pt>
                <c:pt idx="40">
                  <c:v>-145.24848786108643</c:v>
                </c:pt>
                <c:pt idx="41">
                  <c:v>-145.26077458658386</c:v>
                </c:pt>
                <c:pt idx="42">
                  <c:v>-145.27336466170684</c:v>
                </c:pt>
                <c:pt idx="43">
                  <c:v>-145.28625861953807</c:v>
                </c:pt>
                <c:pt idx="44">
                  <c:v>-145.29945700717121</c:v>
                </c:pt>
                <c:pt idx="45">
                  <c:v>-145.31296038591654</c:v>
                </c:pt>
                <c:pt idx="46">
                  <c:v>-145.32676933140201</c:v>
                </c:pt>
                <c:pt idx="47">
                  <c:v>-145.34088443368231</c:v>
                </c:pt>
                <c:pt idx="48">
                  <c:v>-145.35530629735985</c:v>
                </c:pt>
                <c:pt idx="49">
                  <c:v>-145.37003554171298</c:v>
                </c:pt>
                <c:pt idx="50">
                  <c:v>-145.38507280081362</c:v>
                </c:pt>
                <c:pt idx="51">
                  <c:v>-145.40041872371503</c:v>
                </c:pt>
                <c:pt idx="52">
                  <c:v>-145.41607397453052</c:v>
                </c:pt>
                <c:pt idx="53">
                  <c:v>-145.43203923256658</c:v>
                </c:pt>
                <c:pt idx="54">
                  <c:v>-145.4483151926006</c:v>
                </c:pt>
                <c:pt idx="55">
                  <c:v>-145.4649025648375</c:v>
                </c:pt>
                <c:pt idx="56">
                  <c:v>-145.48180207512135</c:v>
                </c:pt>
                <c:pt idx="57">
                  <c:v>-145.49901446524166</c:v>
                </c:pt>
                <c:pt idx="58">
                  <c:v>-145.51654049288038</c:v>
                </c:pt>
                <c:pt idx="59">
                  <c:v>-145.53438093195459</c:v>
                </c:pt>
                <c:pt idx="60">
                  <c:v>-145.55253657260266</c:v>
                </c:pt>
                <c:pt idx="61">
                  <c:v>-145.57100822158247</c:v>
                </c:pt>
                <c:pt idx="62">
                  <c:v>-145.58979670225966</c:v>
                </c:pt>
                <c:pt idx="63">
                  <c:v>-145.6089028548345</c:v>
                </c:pt>
                <c:pt idx="64">
                  <c:v>-145.62832753667536</c:v>
                </c:pt>
                <c:pt idx="65">
                  <c:v>-145.64807162225352</c:v>
                </c:pt>
                <c:pt idx="66">
                  <c:v>-145.66813600356548</c:v>
                </c:pt>
                <c:pt idx="67">
                  <c:v>-145.68852159022072</c:v>
                </c:pt>
                <c:pt idx="68">
                  <c:v>-145.70922930972441</c:v>
                </c:pt>
                <c:pt idx="69">
                  <c:v>-145.73026010756018</c:v>
                </c:pt>
                <c:pt idx="70">
                  <c:v>-145.75161494759072</c:v>
                </c:pt>
                <c:pt idx="71">
                  <c:v>-145.77329481211962</c:v>
                </c:pt>
                <c:pt idx="72">
                  <c:v>-145.79530070216293</c:v>
                </c:pt>
                <c:pt idx="73">
                  <c:v>-145.81763363778902</c:v>
                </c:pt>
                <c:pt idx="74">
                  <c:v>-145.84029465822888</c:v>
                </c:pt>
                <c:pt idx="75">
                  <c:v>-145.86328482209717</c:v>
                </c:pt>
                <c:pt idx="76">
                  <c:v>-145.88660520785444</c:v>
                </c:pt>
                <c:pt idx="77">
                  <c:v>-145.91025691385533</c:v>
                </c:pt>
                <c:pt idx="78">
                  <c:v>-145.93424105865503</c:v>
                </c:pt>
                <c:pt idx="79">
                  <c:v>-145.95855878131746</c:v>
                </c:pt>
                <c:pt idx="80">
                  <c:v>-145.98321124177559</c:v>
                </c:pt>
                <c:pt idx="81">
                  <c:v>-146.00819962091217</c:v>
                </c:pt>
                <c:pt idx="82">
                  <c:v>-146.03352512099016</c:v>
                </c:pt>
                <c:pt idx="83">
                  <c:v>-146.05918896599511</c:v>
                </c:pt>
                <c:pt idx="84">
                  <c:v>-146.08519240174527</c:v>
                </c:pt>
                <c:pt idx="85">
                  <c:v>-146.11153669651063</c:v>
                </c:pt>
                <c:pt idx="86">
                  <c:v>-146.13822314095614</c:v>
                </c:pt>
                <c:pt idx="87">
                  <c:v>-146.16525304882384</c:v>
                </c:pt>
                <c:pt idx="88">
                  <c:v>-146.19262775699715</c:v>
                </c:pt>
                <c:pt idx="89">
                  <c:v>-146.22034862606694</c:v>
                </c:pt>
                <c:pt idx="90">
                  <c:v>-146.24841704051809</c:v>
                </c:pt>
                <c:pt idx="91">
                  <c:v>-146.27683440914163</c:v>
                </c:pt>
                <c:pt idx="92">
                  <c:v>-146.30560216545882</c:v>
                </c:pt>
                <c:pt idx="93">
                  <c:v>-146.33472176813314</c:v>
                </c:pt>
                <c:pt idx="94">
                  <c:v>-146.36419470107137</c:v>
                </c:pt>
                <c:pt idx="95">
                  <c:v>-146.39402247423115</c:v>
                </c:pt>
                <c:pt idx="96">
                  <c:v>-146.42420662379192</c:v>
                </c:pt>
                <c:pt idx="97">
                  <c:v>-146.45474871262155</c:v>
                </c:pt>
                <c:pt idx="98">
                  <c:v>-146.48565033067086</c:v>
                </c:pt>
                <c:pt idx="99">
                  <c:v>-146.51691309546055</c:v>
                </c:pt>
                <c:pt idx="100">
                  <c:v>-146.54853865256615</c:v>
                </c:pt>
                <c:pt idx="101">
                  <c:v>-146.58052867594895</c:v>
                </c:pt>
                <c:pt idx="102">
                  <c:v>-146.61288486861122</c:v>
                </c:pt>
                <c:pt idx="103">
                  <c:v>-146.64560896291815</c:v>
                </c:pt>
                <c:pt idx="104">
                  <c:v>-146.67870272119677</c:v>
                </c:pt>
                <c:pt idx="105">
                  <c:v>-146.71216793616219</c:v>
                </c:pt>
                <c:pt idx="106">
                  <c:v>-146.74600643158408</c:v>
                </c:pt>
                <c:pt idx="107">
                  <c:v>-146.78022006270857</c:v>
                </c:pt>
                <c:pt idx="108">
                  <c:v>-146.81481071680849</c:v>
                </c:pt>
                <c:pt idx="109">
                  <c:v>-146.84978031369525</c:v>
                </c:pt>
                <c:pt idx="110">
                  <c:v>-146.88513080655616</c:v>
                </c:pt>
                <c:pt idx="111">
                  <c:v>-146.92086418213853</c:v>
                </c:pt>
                <c:pt idx="112">
                  <c:v>-146.95698246194601</c:v>
                </c:pt>
                <c:pt idx="113">
                  <c:v>-146.99348770212939</c:v>
                </c:pt>
                <c:pt idx="114">
                  <c:v>-147.03038199471806</c:v>
                </c:pt>
                <c:pt idx="115">
                  <c:v>-147.06766746797064</c:v>
                </c:pt>
                <c:pt idx="116">
                  <c:v>-147.10534628730665</c:v>
                </c:pt>
                <c:pt idx="117">
                  <c:v>-147.14342065561206</c:v>
                </c:pt>
                <c:pt idx="118">
                  <c:v>-147.18189281442736</c:v>
                </c:pt>
                <c:pt idx="119">
                  <c:v>-147.22076504423401</c:v>
                </c:pt>
                <c:pt idx="120">
                  <c:v>-147.26003966545784</c:v>
                </c:pt>
                <c:pt idx="121">
                  <c:v>-147.29971903930814</c:v>
                </c:pt>
                <c:pt idx="122">
                  <c:v>-147.33980556829525</c:v>
                </c:pt>
                <c:pt idx="123">
                  <c:v>-147.38030169723953</c:v>
                </c:pt>
                <c:pt idx="124">
                  <c:v>-147.42120991413233</c:v>
                </c:pt>
                <c:pt idx="125">
                  <c:v>-147.46253275078743</c:v>
                </c:pt>
                <c:pt idx="126">
                  <c:v>-147.50427278401321</c:v>
                </c:pt>
                <c:pt idx="127">
                  <c:v>-147.546432636183</c:v>
                </c:pt>
                <c:pt idx="128">
                  <c:v>-147.58901497654713</c:v>
                </c:pt>
                <c:pt idx="129">
                  <c:v>-147.63202252187224</c:v>
                </c:pt>
                <c:pt idx="130">
                  <c:v>-147.67545803748712</c:v>
                </c:pt>
                <c:pt idx="131">
                  <c:v>-147.71932433849648</c:v>
                </c:pt>
                <c:pt idx="132">
                  <c:v>-147.76362429055837</c:v>
                </c:pt>
                <c:pt idx="133">
                  <c:v>-147.80836081103519</c:v>
                </c:pt>
                <c:pt idx="134">
                  <c:v>-147.85353687015851</c:v>
                </c:pt>
                <c:pt idx="135">
                  <c:v>-147.89915549223377</c:v>
                </c:pt>
                <c:pt idx="136">
                  <c:v>-147.94521975648615</c:v>
                </c:pt>
                <c:pt idx="137">
                  <c:v>-147.99173279864155</c:v>
                </c:pt>
                <c:pt idx="138">
                  <c:v>-148.03869781177468</c:v>
                </c:pt>
                <c:pt idx="139">
                  <c:v>-148.08611804797235</c:v>
                </c:pt>
                <c:pt idx="140">
                  <c:v>-148.13399681928703</c:v>
                </c:pt>
                <c:pt idx="141">
                  <c:v>-148.18233749930229</c:v>
                </c:pt>
                <c:pt idx="142">
                  <c:v>-148.23114352450338</c:v>
                </c:pt>
                <c:pt idx="143">
                  <c:v>-148.28041839550608</c:v>
                </c:pt>
                <c:pt idx="144">
                  <c:v>-148.33016567872298</c:v>
                </c:pt>
                <c:pt idx="145">
                  <c:v>-148.38038900785477</c:v>
                </c:pt>
                <c:pt idx="146">
                  <c:v>-148.43109208525001</c:v>
                </c:pt>
                <c:pt idx="147">
                  <c:v>-148.48227868389756</c:v>
                </c:pt>
                <c:pt idx="148">
                  <c:v>-148.53395264854183</c:v>
                </c:pt>
                <c:pt idx="149">
                  <c:v>-148.5861178978823</c:v>
                </c:pt>
                <c:pt idx="150">
                  <c:v>-148.63877842614824</c:v>
                </c:pt>
                <c:pt idx="151">
                  <c:v>-148.69193830474296</c:v>
                </c:pt>
                <c:pt idx="152">
                  <c:v>-148.74560168427845</c:v>
                </c:pt>
                <c:pt idx="153">
                  <c:v>-148.79977279665673</c:v>
                </c:pt>
                <c:pt idx="154">
                  <c:v>-148.85445595668935</c:v>
                </c:pt>
                <c:pt idx="155">
                  <c:v>-148.90965556438678</c:v>
                </c:pt>
                <c:pt idx="156">
                  <c:v>-148.96537610712869</c:v>
                </c:pt>
                <c:pt idx="157">
                  <c:v>-149.02162216155233</c:v>
                </c:pt>
                <c:pt idx="158">
                  <c:v>-149.07839839631797</c:v>
                </c:pt>
                <c:pt idx="159">
                  <c:v>-149.13570957377328</c:v>
                </c:pt>
                <c:pt idx="160">
                  <c:v>-149.19356055300511</c:v>
                </c:pt>
                <c:pt idx="161">
                  <c:v>-149.25195629175298</c:v>
                </c:pt>
                <c:pt idx="162">
                  <c:v>-149.31090184967701</c:v>
                </c:pt>
                <c:pt idx="163">
                  <c:v>-149.370402390187</c:v>
                </c:pt>
                <c:pt idx="164">
                  <c:v>-149.43046318378941</c:v>
                </c:pt>
                <c:pt idx="165">
                  <c:v>-149.49108961089291</c:v>
                </c:pt>
                <c:pt idx="166">
                  <c:v>-149.55228716429767</c:v>
                </c:pt>
                <c:pt idx="167">
                  <c:v>-149.61406145276553</c:v>
                </c:pt>
                <c:pt idx="168">
                  <c:v>-149.67641820384475</c:v>
                </c:pt>
                <c:pt idx="169">
                  <c:v>-149.73936326715915</c:v>
                </c:pt>
                <c:pt idx="170">
                  <c:v>-149.80290261807852</c:v>
                </c:pt>
                <c:pt idx="171">
                  <c:v>-149.86704236064151</c:v>
                </c:pt>
                <c:pt idx="172">
                  <c:v>-149.93178873181938</c:v>
                </c:pt>
                <c:pt idx="173">
                  <c:v>-149.99714810462046</c:v>
                </c:pt>
                <c:pt idx="174">
                  <c:v>-150.06312699252081</c:v>
                </c:pt>
                <c:pt idx="175">
                  <c:v>-150.12973205319494</c:v>
                </c:pt>
                <c:pt idx="176">
                  <c:v>-150.19697009276189</c:v>
                </c:pt>
                <c:pt idx="177">
                  <c:v>-150.26484806992582</c:v>
                </c:pt>
                <c:pt idx="178">
                  <c:v>-150.33337310090968</c:v>
                </c:pt>
                <c:pt idx="179">
                  <c:v>-150.40255246359681</c:v>
                </c:pt>
                <c:pt idx="180">
                  <c:v>-150.47239360281495</c:v>
                </c:pt>
                <c:pt idx="181">
                  <c:v>-150.54290413489039</c:v>
                </c:pt>
                <c:pt idx="182">
                  <c:v>-150.6140918531579</c:v>
                </c:pt>
                <c:pt idx="183">
                  <c:v>-150.68596473351906</c:v>
                </c:pt>
                <c:pt idx="184">
                  <c:v>-150.75853093964878</c:v>
                </c:pt>
                <c:pt idx="185">
                  <c:v>-150.83179882914874</c:v>
                </c:pt>
                <c:pt idx="186">
                  <c:v>-150.90577695939439</c:v>
                </c:pt>
                <c:pt idx="187">
                  <c:v>-150.98047409416202</c:v>
                </c:pt>
                <c:pt idx="188">
                  <c:v>-151.05589920981706</c:v>
                </c:pt>
                <c:pt idx="189">
                  <c:v>-151.13206150263392</c:v>
                </c:pt>
                <c:pt idx="190">
                  <c:v>-151.20897039539238</c:v>
                </c:pt>
                <c:pt idx="191">
                  <c:v>-151.28663554518926</c:v>
                </c:pt>
                <c:pt idx="192">
                  <c:v>-151.36506685079621</c:v>
                </c:pt>
                <c:pt idx="193">
                  <c:v>-151.44427446129771</c:v>
                </c:pt>
                <c:pt idx="194">
                  <c:v>-151.52426878374061</c:v>
                </c:pt>
                <c:pt idx="195">
                  <c:v>-151.60506049252359</c:v>
                </c:pt>
                <c:pt idx="196">
                  <c:v>-151.68666053793959</c:v>
                </c:pt>
                <c:pt idx="197">
                  <c:v>-151.76908015636073</c:v>
                </c:pt>
                <c:pt idx="198">
                  <c:v>-151.85233087969215</c:v>
                </c:pt>
                <c:pt idx="199">
                  <c:v>-151.9364245456961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10-8634-4924-B5DF-66A9EC57A495}"/>
            </c:ext>
          </c:extLst>
        </c:ser>
        <c:ser>
          <c:idx val="17"/>
          <c:order val="17"/>
          <c:tx>
            <c:strRef>
              <c:f>Calculate!$W$1</c:f>
              <c:strCache>
                <c:ptCount val="1"/>
                <c:pt idx="0">
                  <c:v>Noise_ds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Calculate!$W$2:$W$201</c:f>
              <c:numCache>
                <c:formatCode>0.00</c:formatCode>
                <c:ptCount val="200"/>
                <c:pt idx="0">
                  <c:v>-138.80699831823648</c:v>
                </c:pt>
                <c:pt idx="1">
                  <c:v>-138.80710374380217</c:v>
                </c:pt>
                <c:pt idx="2">
                  <c:v>-138.80727943982365</c:v>
                </c:pt>
                <c:pt idx="3">
                  <c:v>-138.80752538641923</c:v>
                </c:pt>
                <c:pt idx="4">
                  <c:v>-138.80784155575441</c:v>
                </c:pt>
                <c:pt idx="5">
                  <c:v>-138.80822791204542</c:v>
                </c:pt>
                <c:pt idx="6">
                  <c:v>-138.80868441155664</c:v>
                </c:pt>
                <c:pt idx="7">
                  <c:v>-138.80921100260667</c:v>
                </c:pt>
                <c:pt idx="8">
                  <c:v>-138.80980762556388</c:v>
                </c:pt>
                <c:pt idx="9">
                  <c:v>-138.81047421285504</c:v>
                </c:pt>
                <c:pt idx="10">
                  <c:v>-138.81121068896331</c:v>
                </c:pt>
                <c:pt idx="11">
                  <c:v>-138.81201697043164</c:v>
                </c:pt>
                <c:pt idx="12">
                  <c:v>-138.81289296586567</c:v>
                </c:pt>
                <c:pt idx="13">
                  <c:v>-138.81383857593647</c:v>
                </c:pt>
                <c:pt idx="14">
                  <c:v>-138.81485369338381</c:v>
                </c:pt>
                <c:pt idx="15">
                  <c:v>-138.81593820302135</c:v>
                </c:pt>
                <c:pt idx="16">
                  <c:v>-138.81709198173974</c:v>
                </c:pt>
                <c:pt idx="17">
                  <c:v>-138.81831489851015</c:v>
                </c:pt>
                <c:pt idx="18">
                  <c:v>-138.81960681438539</c:v>
                </c:pt>
                <c:pt idx="19">
                  <c:v>-138.82096758251458</c:v>
                </c:pt>
                <c:pt idx="20">
                  <c:v>-138.82239704814029</c:v>
                </c:pt>
                <c:pt idx="21">
                  <c:v>-138.82389504860339</c:v>
                </c:pt>
                <c:pt idx="22">
                  <c:v>-138.82546141335456</c:v>
                </c:pt>
                <c:pt idx="23">
                  <c:v>-138.8270959639564</c:v>
                </c:pt>
                <c:pt idx="24">
                  <c:v>-138.82879851409581</c:v>
                </c:pt>
                <c:pt idx="25">
                  <c:v>-138.83056886957868</c:v>
                </c:pt>
                <c:pt idx="26">
                  <c:v>-138.83240682834938</c:v>
                </c:pt>
                <c:pt idx="27">
                  <c:v>-138.83431218049924</c:v>
                </c:pt>
                <c:pt idx="28">
                  <c:v>-138.83628470825482</c:v>
                </c:pt>
                <c:pt idx="29">
                  <c:v>-138.83832418602236</c:v>
                </c:pt>
                <c:pt idx="30">
                  <c:v>-138.8404303803589</c:v>
                </c:pt>
                <c:pt idx="31">
                  <c:v>-138.84260305000464</c:v>
                </c:pt>
                <c:pt idx="32">
                  <c:v>-138.84484194589442</c:v>
                </c:pt>
                <c:pt idx="33">
                  <c:v>-138.84714681114824</c:v>
                </c:pt>
                <c:pt idx="34">
                  <c:v>-138.84951738110539</c:v>
                </c:pt>
                <c:pt idx="35">
                  <c:v>-138.85195338332056</c:v>
                </c:pt>
                <c:pt idx="36">
                  <c:v>-138.85445453758098</c:v>
                </c:pt>
                <c:pt idx="37">
                  <c:v>-138.8570205559152</c:v>
                </c:pt>
                <c:pt idx="38">
                  <c:v>-138.85965114262297</c:v>
                </c:pt>
                <c:pt idx="39">
                  <c:v>-138.8623459942612</c:v>
                </c:pt>
                <c:pt idx="40">
                  <c:v>-138.86510479967509</c:v>
                </c:pt>
                <c:pt idx="41">
                  <c:v>-138.86792724002643</c:v>
                </c:pt>
                <c:pt idx="42">
                  <c:v>-138.87081298876569</c:v>
                </c:pt>
                <c:pt idx="43">
                  <c:v>-138.87376171170038</c:v>
                </c:pt>
                <c:pt idx="44">
                  <c:v>-138.87677306697142</c:v>
                </c:pt>
                <c:pt idx="45">
                  <c:v>-138.87984670509181</c:v>
                </c:pt>
                <c:pt idx="46">
                  <c:v>-138.88298226896103</c:v>
                </c:pt>
                <c:pt idx="47">
                  <c:v>-138.88617939388155</c:v>
                </c:pt>
                <c:pt idx="48">
                  <c:v>-138.8894377075778</c:v>
                </c:pt>
                <c:pt idx="49">
                  <c:v>-138.89275683021674</c:v>
                </c:pt>
                <c:pt idx="50">
                  <c:v>-138.89613637442611</c:v>
                </c:pt>
                <c:pt idx="51">
                  <c:v>-138.89957594532848</c:v>
                </c:pt>
                <c:pt idx="52">
                  <c:v>-138.90307514055053</c:v>
                </c:pt>
                <c:pt idx="53">
                  <c:v>-138.90663355024481</c:v>
                </c:pt>
                <c:pt idx="54">
                  <c:v>-138.9102507571437</c:v>
                </c:pt>
                <c:pt idx="55">
                  <c:v>-138.91392633654164</c:v>
                </c:pt>
                <c:pt idx="56">
                  <c:v>-138.91765985633444</c:v>
                </c:pt>
                <c:pt idx="57">
                  <c:v>-138.92145087707939</c:v>
                </c:pt>
                <c:pt idx="58">
                  <c:v>-138.92529895197586</c:v>
                </c:pt>
                <c:pt idx="59">
                  <c:v>-138.92920362693329</c:v>
                </c:pt>
                <c:pt idx="60">
                  <c:v>-138.933164440561</c:v>
                </c:pt>
                <c:pt idx="61">
                  <c:v>-138.93718092424803</c:v>
                </c:pt>
                <c:pt idx="62">
                  <c:v>-138.94125260215378</c:v>
                </c:pt>
                <c:pt idx="63">
                  <c:v>-138.94537899125052</c:v>
                </c:pt>
                <c:pt idx="64">
                  <c:v>-138.94955960138921</c:v>
                </c:pt>
                <c:pt idx="65">
                  <c:v>-138.95379393527901</c:v>
                </c:pt>
                <c:pt idx="66">
                  <c:v>-138.95808148857213</c:v>
                </c:pt>
                <c:pt idx="67">
                  <c:v>-138.96242174987691</c:v>
                </c:pt>
                <c:pt idx="68">
                  <c:v>-138.96681420081245</c:v>
                </c:pt>
                <c:pt idx="69">
                  <c:v>-138.97125831602102</c:v>
                </c:pt>
                <c:pt idx="70">
                  <c:v>-138.97575356324808</c:v>
                </c:pt>
                <c:pt idx="71">
                  <c:v>-138.98029940335027</c:v>
                </c:pt>
                <c:pt idx="72">
                  <c:v>-138.98489529034859</c:v>
                </c:pt>
                <c:pt idx="73">
                  <c:v>-138.98954067149506</c:v>
                </c:pt>
                <c:pt idx="74">
                  <c:v>-138.99423498729203</c:v>
                </c:pt>
                <c:pt idx="75">
                  <c:v>-138.99897767153479</c:v>
                </c:pt>
                <c:pt idx="76">
                  <c:v>-139.00376815140393</c:v>
                </c:pt>
                <c:pt idx="77">
                  <c:v>-139.00860584747227</c:v>
                </c:pt>
                <c:pt idx="78">
                  <c:v>-139.0134901737656</c:v>
                </c:pt>
                <c:pt idx="79">
                  <c:v>-139.0184205378234</c:v>
                </c:pt>
                <c:pt idx="80">
                  <c:v>-139.02339634077029</c:v>
                </c:pt>
                <c:pt idx="81">
                  <c:v>-139.02841697733092</c:v>
                </c:pt>
                <c:pt idx="82">
                  <c:v>-139.03348183591595</c:v>
                </c:pt>
                <c:pt idx="83">
                  <c:v>-139.03859029868985</c:v>
                </c:pt>
                <c:pt idx="84">
                  <c:v>-139.04374174159273</c:v>
                </c:pt>
                <c:pt idx="85">
                  <c:v>-139.04893553446334</c:v>
                </c:pt>
                <c:pt idx="86">
                  <c:v>-139.05417104102835</c:v>
                </c:pt>
                <c:pt idx="87">
                  <c:v>-139.05944761903757</c:v>
                </c:pt>
                <c:pt idx="88">
                  <c:v>-139.06476462027771</c:v>
                </c:pt>
                <c:pt idx="89">
                  <c:v>-139.07012139068425</c:v>
                </c:pt>
                <c:pt idx="90">
                  <c:v>-139.07551727037966</c:v>
                </c:pt>
                <c:pt idx="91">
                  <c:v>-139.08095159375532</c:v>
                </c:pt>
                <c:pt idx="92">
                  <c:v>-139.08642368955557</c:v>
                </c:pt>
                <c:pt idx="93">
                  <c:v>-139.09193288095929</c:v>
                </c:pt>
                <c:pt idx="94">
                  <c:v>-139.09747848560275</c:v>
                </c:pt>
                <c:pt idx="95">
                  <c:v>-139.10305981573617</c:v>
                </c:pt>
                <c:pt idx="96">
                  <c:v>-139.10867617825951</c:v>
                </c:pt>
                <c:pt idx="97">
                  <c:v>-139.11432687481425</c:v>
                </c:pt>
                <c:pt idx="98">
                  <c:v>-139.1200112018615</c:v>
                </c:pt>
                <c:pt idx="99">
                  <c:v>-139.12572845077727</c:v>
                </c:pt>
                <c:pt idx="100">
                  <c:v>-139.13147790794662</c:v>
                </c:pt>
                <c:pt idx="101">
                  <c:v>-139.13725885483001</c:v>
                </c:pt>
                <c:pt idx="102">
                  <c:v>-139.14307056808812</c:v>
                </c:pt>
                <c:pt idx="103">
                  <c:v>-139.14891231964594</c:v>
                </c:pt>
                <c:pt idx="104">
                  <c:v>-139.15478337680693</c:v>
                </c:pt>
                <c:pt idx="105">
                  <c:v>-139.16068300233562</c:v>
                </c:pt>
                <c:pt idx="106">
                  <c:v>-139.1666104545823</c:v>
                </c:pt>
                <c:pt idx="107">
                  <c:v>-139.17256498756421</c:v>
                </c:pt>
                <c:pt idx="108">
                  <c:v>-139.17854585106909</c:v>
                </c:pt>
                <c:pt idx="109">
                  <c:v>-139.18455229075153</c:v>
                </c:pt>
                <c:pt idx="110">
                  <c:v>-139.19058354828476</c:v>
                </c:pt>
                <c:pt idx="111">
                  <c:v>-139.19663886139958</c:v>
                </c:pt>
                <c:pt idx="112">
                  <c:v>-139.20271746409537</c:v>
                </c:pt>
                <c:pt idx="113">
                  <c:v>-139.20881858662898</c:v>
                </c:pt>
                <c:pt idx="114">
                  <c:v>-139.21494145572939</c:v>
                </c:pt>
                <c:pt idx="115">
                  <c:v>-139.2210852946634</c:v>
                </c:pt>
                <c:pt idx="116">
                  <c:v>-139.22724932339668</c:v>
                </c:pt>
                <c:pt idx="117">
                  <c:v>-139.2334327586513</c:v>
                </c:pt>
                <c:pt idx="118">
                  <c:v>-139.23963481410641</c:v>
                </c:pt>
                <c:pt idx="119">
                  <c:v>-139.24585470045099</c:v>
                </c:pt>
                <c:pt idx="120">
                  <c:v>-139.25209162555186</c:v>
                </c:pt>
                <c:pt idx="121">
                  <c:v>-139.258344794593</c:v>
                </c:pt>
                <c:pt idx="122">
                  <c:v>-139.26461341016289</c:v>
                </c:pt>
                <c:pt idx="123">
                  <c:v>-139.27089667241844</c:v>
                </c:pt>
                <c:pt idx="124">
                  <c:v>-139.27719377922332</c:v>
                </c:pt>
                <c:pt idx="125">
                  <c:v>-139.28350392625265</c:v>
                </c:pt>
                <c:pt idx="126">
                  <c:v>-139.28982630717601</c:v>
                </c:pt>
                <c:pt idx="127">
                  <c:v>-139.29616011374677</c:v>
                </c:pt>
                <c:pt idx="128">
                  <c:v>-139.30250453600161</c:v>
                </c:pt>
                <c:pt idx="129">
                  <c:v>-139.30885876235678</c:v>
                </c:pt>
                <c:pt idx="130">
                  <c:v>-139.31522197976346</c:v>
                </c:pt>
                <c:pt idx="131">
                  <c:v>-139.32159337388509</c:v>
                </c:pt>
                <c:pt idx="132">
                  <c:v>-139.32797212920812</c:v>
                </c:pt>
                <c:pt idx="133">
                  <c:v>-139.33435742920526</c:v>
                </c:pt>
                <c:pt idx="134">
                  <c:v>-139.34074845649769</c:v>
                </c:pt>
                <c:pt idx="135">
                  <c:v>-139.34714439301968</c:v>
                </c:pt>
                <c:pt idx="136">
                  <c:v>-139.35354442012971</c:v>
                </c:pt>
                <c:pt idx="137">
                  <c:v>-139.3599477188223</c:v>
                </c:pt>
                <c:pt idx="138">
                  <c:v>-139.36635346983391</c:v>
                </c:pt>
                <c:pt idx="139">
                  <c:v>-139.37276085385821</c:v>
                </c:pt>
                <c:pt idx="140">
                  <c:v>-139.37916905166034</c:v>
                </c:pt>
                <c:pt idx="141">
                  <c:v>-139.38557724427099</c:v>
                </c:pt>
                <c:pt idx="142">
                  <c:v>-139.39198461314942</c:v>
                </c:pt>
                <c:pt idx="143">
                  <c:v>-139.39839034032437</c:v>
                </c:pt>
                <c:pt idx="144">
                  <c:v>-139.40479360858836</c:v>
                </c:pt>
                <c:pt idx="145">
                  <c:v>-139.41119360166394</c:v>
                </c:pt>
                <c:pt idx="146">
                  <c:v>-139.417589504349</c:v>
                </c:pt>
                <c:pt idx="147">
                  <c:v>-139.42398050273755</c:v>
                </c:pt>
                <c:pt idx="148">
                  <c:v>-139.43036578432472</c:v>
                </c:pt>
                <c:pt idx="149">
                  <c:v>-139.43674453824278</c:v>
                </c:pt>
                <c:pt idx="150">
                  <c:v>-139.44311595541262</c:v>
                </c:pt>
                <c:pt idx="151">
                  <c:v>-139.4494792286996</c:v>
                </c:pt>
                <c:pt idx="152">
                  <c:v>-139.45583355311052</c:v>
                </c:pt>
                <c:pt idx="153">
                  <c:v>-139.46217812598928</c:v>
                </c:pt>
                <c:pt idx="154">
                  <c:v>-139.46851214715127</c:v>
                </c:pt>
                <c:pt idx="155">
                  <c:v>-139.47483481909086</c:v>
                </c:pt>
                <c:pt idx="156">
                  <c:v>-139.48114534716663</c:v>
                </c:pt>
                <c:pt idx="157">
                  <c:v>-139.48744293974801</c:v>
                </c:pt>
                <c:pt idx="158">
                  <c:v>-139.49372680845306</c:v>
                </c:pt>
                <c:pt idx="159">
                  <c:v>-139.49999616825539</c:v>
                </c:pt>
                <c:pt idx="160">
                  <c:v>-139.50625023773728</c:v>
                </c:pt>
                <c:pt idx="161">
                  <c:v>-139.51248823920875</c:v>
                </c:pt>
                <c:pt idx="162">
                  <c:v>-139.51870939896475</c:v>
                </c:pt>
                <c:pt idx="163">
                  <c:v>-139.52491294737908</c:v>
                </c:pt>
                <c:pt idx="164">
                  <c:v>-139.53109811915098</c:v>
                </c:pt>
                <c:pt idx="165">
                  <c:v>-139.53726415348288</c:v>
                </c:pt>
                <c:pt idx="166">
                  <c:v>-139.54341029421695</c:v>
                </c:pt>
                <c:pt idx="167">
                  <c:v>-139.54953579007184</c:v>
                </c:pt>
                <c:pt idx="168">
                  <c:v>-139.55563989479188</c:v>
                </c:pt>
                <c:pt idx="169">
                  <c:v>-139.56172186733281</c:v>
                </c:pt>
                <c:pt idx="170">
                  <c:v>-139.56778097207186</c:v>
                </c:pt>
                <c:pt idx="171">
                  <c:v>-139.5738164789343</c:v>
                </c:pt>
                <c:pt idx="172">
                  <c:v>-139.57982766363554</c:v>
                </c:pt>
                <c:pt idx="173">
                  <c:v>-139.58581380780066</c:v>
                </c:pt>
                <c:pt idx="174">
                  <c:v>-139.59177419919479</c:v>
                </c:pt>
                <c:pt idx="175">
                  <c:v>-139.59770813187387</c:v>
                </c:pt>
                <c:pt idx="176">
                  <c:v>-139.60361490636913</c:v>
                </c:pt>
                <c:pt idx="177">
                  <c:v>-139.60949382984725</c:v>
                </c:pt>
                <c:pt idx="178">
                  <c:v>-139.61534421632459</c:v>
                </c:pt>
                <c:pt idx="179">
                  <c:v>-139.6211653867966</c:v>
                </c:pt>
                <c:pt idx="180">
                  <c:v>-139.62695666944933</c:v>
                </c:pt>
                <c:pt idx="181">
                  <c:v>-139.63271739979189</c:v>
                </c:pt>
                <c:pt idx="182">
                  <c:v>-139.63844692085223</c:v>
                </c:pt>
                <c:pt idx="183">
                  <c:v>-139.64414458335668</c:v>
                </c:pt>
                <c:pt idx="184">
                  <c:v>-139.64980974586325</c:v>
                </c:pt>
                <c:pt idx="185">
                  <c:v>-139.65544177495184</c:v>
                </c:pt>
                <c:pt idx="186">
                  <c:v>-139.66104004536956</c:v>
                </c:pt>
                <c:pt idx="187">
                  <c:v>-139.66660394021596</c:v>
                </c:pt>
                <c:pt idx="188">
                  <c:v>-139.67213285107306</c:v>
                </c:pt>
                <c:pt idx="189">
                  <c:v>-139.67762617819847</c:v>
                </c:pt>
                <c:pt idx="190">
                  <c:v>-139.68308333064184</c:v>
                </c:pt>
                <c:pt idx="191">
                  <c:v>-139.68850372642686</c:v>
                </c:pt>
                <c:pt idx="192">
                  <c:v>-139.69388679267584</c:v>
                </c:pt>
                <c:pt idx="193">
                  <c:v>-139.6992319657987</c:v>
                </c:pt>
                <c:pt idx="194">
                  <c:v>-139.70453869158766</c:v>
                </c:pt>
                <c:pt idx="195">
                  <c:v>-139.70980642540388</c:v>
                </c:pt>
                <c:pt idx="196">
                  <c:v>-139.7150346322793</c:v>
                </c:pt>
                <c:pt idx="197">
                  <c:v>-139.72022278709696</c:v>
                </c:pt>
                <c:pt idx="198">
                  <c:v>-139.72537037469434</c:v>
                </c:pt>
                <c:pt idx="199">
                  <c:v>-139.73047688999219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634-4924-B5DF-66A9EC57A4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522992"/>
        <c:axId val="93252758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Calculate!$B$1</c15:sqref>
                        </c15:formulaRef>
                      </c:ext>
                    </c:extLst>
                    <c:strCache>
                      <c:ptCount val="1"/>
                      <c:pt idx="0">
                        <c:v>dF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Calculate!$B$2:$B$201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45000000</c:v>
                      </c:pt>
                      <c:pt idx="1">
                        <c:v>45000000</c:v>
                      </c:pt>
                      <c:pt idx="2">
                        <c:v>45000000</c:v>
                      </c:pt>
                      <c:pt idx="3">
                        <c:v>45000000</c:v>
                      </c:pt>
                      <c:pt idx="4">
                        <c:v>45000000</c:v>
                      </c:pt>
                      <c:pt idx="5">
                        <c:v>45000000</c:v>
                      </c:pt>
                      <c:pt idx="6">
                        <c:v>45000000</c:v>
                      </c:pt>
                      <c:pt idx="7">
                        <c:v>45000000</c:v>
                      </c:pt>
                      <c:pt idx="8">
                        <c:v>45000000</c:v>
                      </c:pt>
                      <c:pt idx="9">
                        <c:v>45000000</c:v>
                      </c:pt>
                      <c:pt idx="10">
                        <c:v>45000000</c:v>
                      </c:pt>
                      <c:pt idx="11">
                        <c:v>45000000</c:v>
                      </c:pt>
                      <c:pt idx="12">
                        <c:v>45000000</c:v>
                      </c:pt>
                      <c:pt idx="13">
                        <c:v>45000000</c:v>
                      </c:pt>
                      <c:pt idx="14">
                        <c:v>45000000</c:v>
                      </c:pt>
                      <c:pt idx="15">
                        <c:v>45000000</c:v>
                      </c:pt>
                      <c:pt idx="16">
                        <c:v>45000000</c:v>
                      </c:pt>
                      <c:pt idx="17">
                        <c:v>45000000</c:v>
                      </c:pt>
                      <c:pt idx="18">
                        <c:v>45000000</c:v>
                      </c:pt>
                      <c:pt idx="19">
                        <c:v>45000000</c:v>
                      </c:pt>
                      <c:pt idx="20">
                        <c:v>45000000</c:v>
                      </c:pt>
                      <c:pt idx="21">
                        <c:v>45000000</c:v>
                      </c:pt>
                      <c:pt idx="22">
                        <c:v>45000000</c:v>
                      </c:pt>
                      <c:pt idx="23">
                        <c:v>45000000</c:v>
                      </c:pt>
                      <c:pt idx="24">
                        <c:v>45000000</c:v>
                      </c:pt>
                      <c:pt idx="25">
                        <c:v>45000000</c:v>
                      </c:pt>
                      <c:pt idx="26">
                        <c:v>45000000</c:v>
                      </c:pt>
                      <c:pt idx="27">
                        <c:v>45000000</c:v>
                      </c:pt>
                      <c:pt idx="28">
                        <c:v>45000000</c:v>
                      </c:pt>
                      <c:pt idx="29">
                        <c:v>45000000</c:v>
                      </c:pt>
                      <c:pt idx="30">
                        <c:v>45000000</c:v>
                      </c:pt>
                      <c:pt idx="31">
                        <c:v>45000000</c:v>
                      </c:pt>
                      <c:pt idx="32">
                        <c:v>45000000</c:v>
                      </c:pt>
                      <c:pt idx="33">
                        <c:v>45000000</c:v>
                      </c:pt>
                      <c:pt idx="34">
                        <c:v>45000000</c:v>
                      </c:pt>
                      <c:pt idx="35">
                        <c:v>45000000</c:v>
                      </c:pt>
                      <c:pt idx="36">
                        <c:v>45000000</c:v>
                      </c:pt>
                      <c:pt idx="37">
                        <c:v>45000000</c:v>
                      </c:pt>
                      <c:pt idx="38">
                        <c:v>45000000</c:v>
                      </c:pt>
                      <c:pt idx="39">
                        <c:v>45000000</c:v>
                      </c:pt>
                      <c:pt idx="40">
                        <c:v>45000000</c:v>
                      </c:pt>
                      <c:pt idx="41">
                        <c:v>45000000</c:v>
                      </c:pt>
                      <c:pt idx="42">
                        <c:v>45000000</c:v>
                      </c:pt>
                      <c:pt idx="43">
                        <c:v>45000000</c:v>
                      </c:pt>
                      <c:pt idx="44">
                        <c:v>45000000</c:v>
                      </c:pt>
                      <c:pt idx="45">
                        <c:v>45000000</c:v>
                      </c:pt>
                      <c:pt idx="46">
                        <c:v>45000000</c:v>
                      </c:pt>
                      <c:pt idx="47">
                        <c:v>45000000</c:v>
                      </c:pt>
                      <c:pt idx="48">
                        <c:v>45000000</c:v>
                      </c:pt>
                      <c:pt idx="49">
                        <c:v>45000000</c:v>
                      </c:pt>
                      <c:pt idx="50">
                        <c:v>45000000</c:v>
                      </c:pt>
                      <c:pt idx="51">
                        <c:v>45000000</c:v>
                      </c:pt>
                      <c:pt idx="52">
                        <c:v>45000000</c:v>
                      </c:pt>
                      <c:pt idx="53">
                        <c:v>45000000</c:v>
                      </c:pt>
                      <c:pt idx="54">
                        <c:v>45000000</c:v>
                      </c:pt>
                      <c:pt idx="55">
                        <c:v>45000000</c:v>
                      </c:pt>
                      <c:pt idx="56">
                        <c:v>45000000</c:v>
                      </c:pt>
                      <c:pt idx="57">
                        <c:v>45000000</c:v>
                      </c:pt>
                      <c:pt idx="58">
                        <c:v>45000000</c:v>
                      </c:pt>
                      <c:pt idx="59">
                        <c:v>45000000</c:v>
                      </c:pt>
                      <c:pt idx="60">
                        <c:v>45000000</c:v>
                      </c:pt>
                      <c:pt idx="61">
                        <c:v>45000000</c:v>
                      </c:pt>
                      <c:pt idx="62">
                        <c:v>45000000</c:v>
                      </c:pt>
                      <c:pt idx="63">
                        <c:v>45000000</c:v>
                      </c:pt>
                      <c:pt idx="64">
                        <c:v>45000000</c:v>
                      </c:pt>
                      <c:pt idx="65">
                        <c:v>45000000</c:v>
                      </c:pt>
                      <c:pt idx="66">
                        <c:v>45000000</c:v>
                      </c:pt>
                      <c:pt idx="67">
                        <c:v>45000000</c:v>
                      </c:pt>
                      <c:pt idx="68">
                        <c:v>45000000</c:v>
                      </c:pt>
                      <c:pt idx="69">
                        <c:v>45000000</c:v>
                      </c:pt>
                      <c:pt idx="70">
                        <c:v>45000000</c:v>
                      </c:pt>
                      <c:pt idx="71">
                        <c:v>45000000</c:v>
                      </c:pt>
                      <c:pt idx="72">
                        <c:v>45000000</c:v>
                      </c:pt>
                      <c:pt idx="73">
                        <c:v>45000000</c:v>
                      </c:pt>
                      <c:pt idx="74">
                        <c:v>45000000</c:v>
                      </c:pt>
                      <c:pt idx="75">
                        <c:v>45000000</c:v>
                      </c:pt>
                      <c:pt idx="76">
                        <c:v>45000000</c:v>
                      </c:pt>
                      <c:pt idx="77">
                        <c:v>45000000</c:v>
                      </c:pt>
                      <c:pt idx="78">
                        <c:v>45000000</c:v>
                      </c:pt>
                      <c:pt idx="79">
                        <c:v>45000000</c:v>
                      </c:pt>
                      <c:pt idx="80">
                        <c:v>45000000</c:v>
                      </c:pt>
                      <c:pt idx="81">
                        <c:v>45000000</c:v>
                      </c:pt>
                      <c:pt idx="82">
                        <c:v>45000000</c:v>
                      </c:pt>
                      <c:pt idx="83">
                        <c:v>45000000</c:v>
                      </c:pt>
                      <c:pt idx="84">
                        <c:v>45000000</c:v>
                      </c:pt>
                      <c:pt idx="85">
                        <c:v>45000000</c:v>
                      </c:pt>
                      <c:pt idx="86">
                        <c:v>45000000</c:v>
                      </c:pt>
                      <c:pt idx="87">
                        <c:v>45000000</c:v>
                      </c:pt>
                      <c:pt idx="88">
                        <c:v>45000000</c:v>
                      </c:pt>
                      <c:pt idx="89">
                        <c:v>45000000</c:v>
                      </c:pt>
                      <c:pt idx="90">
                        <c:v>45000000</c:v>
                      </c:pt>
                      <c:pt idx="91">
                        <c:v>45000000</c:v>
                      </c:pt>
                      <c:pt idx="92">
                        <c:v>45000000</c:v>
                      </c:pt>
                      <c:pt idx="93">
                        <c:v>45000000</c:v>
                      </c:pt>
                      <c:pt idx="94">
                        <c:v>45000000</c:v>
                      </c:pt>
                      <c:pt idx="95">
                        <c:v>45000000</c:v>
                      </c:pt>
                      <c:pt idx="96">
                        <c:v>45000000</c:v>
                      </c:pt>
                      <c:pt idx="97">
                        <c:v>45000000</c:v>
                      </c:pt>
                      <c:pt idx="98">
                        <c:v>45000000</c:v>
                      </c:pt>
                      <c:pt idx="99">
                        <c:v>45000000</c:v>
                      </c:pt>
                      <c:pt idx="100">
                        <c:v>45000000</c:v>
                      </c:pt>
                      <c:pt idx="101">
                        <c:v>45000000</c:v>
                      </c:pt>
                      <c:pt idx="102">
                        <c:v>45000000</c:v>
                      </c:pt>
                      <c:pt idx="103">
                        <c:v>45000000</c:v>
                      </c:pt>
                      <c:pt idx="104">
                        <c:v>45000000</c:v>
                      </c:pt>
                      <c:pt idx="105">
                        <c:v>45000000</c:v>
                      </c:pt>
                      <c:pt idx="106">
                        <c:v>45000000</c:v>
                      </c:pt>
                      <c:pt idx="107">
                        <c:v>45000000</c:v>
                      </c:pt>
                      <c:pt idx="108">
                        <c:v>45000000</c:v>
                      </c:pt>
                      <c:pt idx="109">
                        <c:v>45000000</c:v>
                      </c:pt>
                      <c:pt idx="110">
                        <c:v>45000000</c:v>
                      </c:pt>
                      <c:pt idx="111">
                        <c:v>45000000</c:v>
                      </c:pt>
                      <c:pt idx="112">
                        <c:v>45000000</c:v>
                      </c:pt>
                      <c:pt idx="113">
                        <c:v>45000000</c:v>
                      </c:pt>
                      <c:pt idx="114">
                        <c:v>45000000</c:v>
                      </c:pt>
                      <c:pt idx="115">
                        <c:v>45000000</c:v>
                      </c:pt>
                      <c:pt idx="116">
                        <c:v>45000000</c:v>
                      </c:pt>
                      <c:pt idx="117">
                        <c:v>45000000</c:v>
                      </c:pt>
                      <c:pt idx="118">
                        <c:v>45000000</c:v>
                      </c:pt>
                      <c:pt idx="119">
                        <c:v>45000000</c:v>
                      </c:pt>
                      <c:pt idx="120">
                        <c:v>45000000</c:v>
                      </c:pt>
                      <c:pt idx="121">
                        <c:v>45000000</c:v>
                      </c:pt>
                      <c:pt idx="122">
                        <c:v>45000000</c:v>
                      </c:pt>
                      <c:pt idx="123">
                        <c:v>45000000</c:v>
                      </c:pt>
                      <c:pt idx="124">
                        <c:v>45000000</c:v>
                      </c:pt>
                      <c:pt idx="125">
                        <c:v>45000000</c:v>
                      </c:pt>
                      <c:pt idx="126">
                        <c:v>45000000</c:v>
                      </c:pt>
                      <c:pt idx="127">
                        <c:v>45000000</c:v>
                      </c:pt>
                      <c:pt idx="128">
                        <c:v>45000000</c:v>
                      </c:pt>
                      <c:pt idx="129">
                        <c:v>45000000</c:v>
                      </c:pt>
                      <c:pt idx="130">
                        <c:v>45000000</c:v>
                      </c:pt>
                      <c:pt idx="131">
                        <c:v>45000000</c:v>
                      </c:pt>
                      <c:pt idx="132">
                        <c:v>45000000</c:v>
                      </c:pt>
                      <c:pt idx="133">
                        <c:v>45000000</c:v>
                      </c:pt>
                      <c:pt idx="134">
                        <c:v>45000000</c:v>
                      </c:pt>
                      <c:pt idx="135">
                        <c:v>45000000</c:v>
                      </c:pt>
                      <c:pt idx="136">
                        <c:v>45000000</c:v>
                      </c:pt>
                      <c:pt idx="137">
                        <c:v>45000000</c:v>
                      </c:pt>
                      <c:pt idx="138">
                        <c:v>45000000</c:v>
                      </c:pt>
                      <c:pt idx="139">
                        <c:v>45000000</c:v>
                      </c:pt>
                      <c:pt idx="140">
                        <c:v>45000000</c:v>
                      </c:pt>
                      <c:pt idx="141">
                        <c:v>45000000</c:v>
                      </c:pt>
                      <c:pt idx="142">
                        <c:v>45000000</c:v>
                      </c:pt>
                      <c:pt idx="143">
                        <c:v>45000000</c:v>
                      </c:pt>
                      <c:pt idx="144">
                        <c:v>45000000</c:v>
                      </c:pt>
                      <c:pt idx="145">
                        <c:v>45000000</c:v>
                      </c:pt>
                      <c:pt idx="146">
                        <c:v>45000000</c:v>
                      </c:pt>
                      <c:pt idx="147">
                        <c:v>45000000</c:v>
                      </c:pt>
                      <c:pt idx="148">
                        <c:v>45000000</c:v>
                      </c:pt>
                      <c:pt idx="149">
                        <c:v>45000000</c:v>
                      </c:pt>
                      <c:pt idx="150">
                        <c:v>45000000</c:v>
                      </c:pt>
                      <c:pt idx="151">
                        <c:v>45000000</c:v>
                      </c:pt>
                      <c:pt idx="152">
                        <c:v>45000000</c:v>
                      </c:pt>
                      <c:pt idx="153">
                        <c:v>45000000</c:v>
                      </c:pt>
                      <c:pt idx="154">
                        <c:v>45000000</c:v>
                      </c:pt>
                      <c:pt idx="155">
                        <c:v>45000000</c:v>
                      </c:pt>
                      <c:pt idx="156">
                        <c:v>45000000</c:v>
                      </c:pt>
                      <c:pt idx="157">
                        <c:v>45000000</c:v>
                      </c:pt>
                      <c:pt idx="158">
                        <c:v>45000000</c:v>
                      </c:pt>
                      <c:pt idx="159">
                        <c:v>45000000</c:v>
                      </c:pt>
                      <c:pt idx="160">
                        <c:v>45000000</c:v>
                      </c:pt>
                      <c:pt idx="161">
                        <c:v>45000000</c:v>
                      </c:pt>
                      <c:pt idx="162">
                        <c:v>45000000</c:v>
                      </c:pt>
                      <c:pt idx="163">
                        <c:v>45000000</c:v>
                      </c:pt>
                      <c:pt idx="164">
                        <c:v>45000000</c:v>
                      </c:pt>
                      <c:pt idx="165">
                        <c:v>45000000</c:v>
                      </c:pt>
                      <c:pt idx="166">
                        <c:v>45000000</c:v>
                      </c:pt>
                      <c:pt idx="167">
                        <c:v>45000000</c:v>
                      </c:pt>
                      <c:pt idx="168">
                        <c:v>45000000</c:v>
                      </c:pt>
                      <c:pt idx="169">
                        <c:v>45000000</c:v>
                      </c:pt>
                      <c:pt idx="170">
                        <c:v>45000000</c:v>
                      </c:pt>
                      <c:pt idx="171">
                        <c:v>45000000</c:v>
                      </c:pt>
                      <c:pt idx="172">
                        <c:v>45000000</c:v>
                      </c:pt>
                      <c:pt idx="173">
                        <c:v>45000000</c:v>
                      </c:pt>
                      <c:pt idx="174">
                        <c:v>45000000</c:v>
                      </c:pt>
                      <c:pt idx="175">
                        <c:v>45000000</c:v>
                      </c:pt>
                      <c:pt idx="176">
                        <c:v>45000000</c:v>
                      </c:pt>
                      <c:pt idx="177">
                        <c:v>45000000</c:v>
                      </c:pt>
                      <c:pt idx="178">
                        <c:v>45000000</c:v>
                      </c:pt>
                      <c:pt idx="179">
                        <c:v>45000000</c:v>
                      </c:pt>
                      <c:pt idx="180">
                        <c:v>45000000</c:v>
                      </c:pt>
                      <c:pt idx="181">
                        <c:v>45000000</c:v>
                      </c:pt>
                      <c:pt idx="182">
                        <c:v>45000000</c:v>
                      </c:pt>
                      <c:pt idx="183">
                        <c:v>45000000</c:v>
                      </c:pt>
                      <c:pt idx="184">
                        <c:v>45000000</c:v>
                      </c:pt>
                      <c:pt idx="185">
                        <c:v>45000000</c:v>
                      </c:pt>
                      <c:pt idx="186">
                        <c:v>45000000</c:v>
                      </c:pt>
                      <c:pt idx="187">
                        <c:v>45000000</c:v>
                      </c:pt>
                      <c:pt idx="188">
                        <c:v>45000000</c:v>
                      </c:pt>
                      <c:pt idx="189">
                        <c:v>45000000</c:v>
                      </c:pt>
                      <c:pt idx="190">
                        <c:v>45000000</c:v>
                      </c:pt>
                      <c:pt idx="191">
                        <c:v>45000000</c:v>
                      </c:pt>
                      <c:pt idx="192">
                        <c:v>45000000</c:v>
                      </c:pt>
                      <c:pt idx="193">
                        <c:v>45000000</c:v>
                      </c:pt>
                      <c:pt idx="194">
                        <c:v>45000000</c:v>
                      </c:pt>
                      <c:pt idx="195">
                        <c:v>45000000</c:v>
                      </c:pt>
                      <c:pt idx="196">
                        <c:v>45000000</c:v>
                      </c:pt>
                      <c:pt idx="197">
                        <c:v>45000000</c:v>
                      </c:pt>
                      <c:pt idx="198">
                        <c:v>45000000</c:v>
                      </c:pt>
                      <c:pt idx="199">
                        <c:v>45000000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4-8634-4924-B5DF-66A9EC57A495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Calculate!$E$1</c15:sqref>
                        </c15:formulaRef>
                      </c:ext>
                    </c:extLst>
                    <c:strCache>
                      <c:ptCount val="1"/>
                      <c:pt idx="0">
                        <c:v>IL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Calculate!$E$2:$E$201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-1.6447868570683462</c:v>
                      </c:pt>
                      <c:pt idx="1">
                        <c:v>-2.360552562503381</c:v>
                      </c:pt>
                      <c:pt idx="2">
                        <c:v>-2.9234713745604055</c:v>
                      </c:pt>
                      <c:pt idx="3">
                        <c:v>-3.4072708126354634</c:v>
                      </c:pt>
                      <c:pt idx="4">
                        <c:v>-3.8405086106511099</c:v>
                      </c:pt>
                      <c:pt idx="5">
                        <c:v>-4.2378309131857677</c:v>
                      </c:pt>
                      <c:pt idx="6">
                        <c:v>-4.6079382019252728</c:v>
                      </c:pt>
                      <c:pt idx="7">
                        <c:v>-4.9564993220043041</c:v>
                      </c:pt>
                      <c:pt idx="8">
                        <c:v>-5.2874518667013506</c:v>
                      </c:pt>
                      <c:pt idx="9">
                        <c:v>-5.603662773714996</c:v>
                      </c:pt>
                      <c:pt idx="10">
                        <c:v>-5.9072963494298989</c:v>
                      </c:pt>
                      <c:pt idx="11">
                        <c:v>-6.2000340446171247</c:v>
                      </c:pt>
                      <c:pt idx="12">
                        <c:v>-6.4832130288058645</c:v>
                      </c:pt>
                      <c:pt idx="13">
                        <c:v>-6.7579174739099761</c:v>
                      </c:pt>
                      <c:pt idx="14">
                        <c:v>-7.0250408930359889</c:v>
                      </c:pt>
                      <c:pt idx="15">
                        <c:v>-7.2853300192660111</c:v>
                      </c:pt>
                      <c:pt idx="16">
                        <c:v>-7.5394164960904622</c:v>
                      </c:pt>
                      <c:pt idx="17">
                        <c:v>-7.7878402785027694</c:v>
                      </c:pt>
                      <c:pt idx="18">
                        <c:v>-8.0310672502110751</c:v>
                      </c:pt>
                      <c:pt idx="19">
                        <c:v>-8.2695027137960739</c:v>
                      </c:pt>
                      <c:pt idx="20">
                        <c:v>-8.5035018773476576</c:v>
                      </c:pt>
                      <c:pt idx="21">
                        <c:v>-8.7333781165882343</c:v>
                      </c:pt>
                      <c:pt idx="22">
                        <c:v>-8.9594095634032698</c:v>
                      </c:pt>
                      <c:pt idx="23">
                        <c:v>-9.1818444173641609</c:v>
                      </c:pt>
                      <c:pt idx="24">
                        <c:v>-9.4009052703294405</c:v>
                      </c:pt>
                      <c:pt idx="25">
                        <c:v>-9.6167926594072224</c:v>
                      </c:pt>
                      <c:pt idx="26">
                        <c:v>-9.8296880101701554</c:v>
                      </c:pt>
                      <c:pt idx="27">
                        <c:v>-10.039756093341939</c:v>
                      </c:pt>
                      <c:pt idx="28">
                        <c:v>-10.247147089785292</c:v>
                      </c:pt>
                      <c:pt idx="29">
                        <c:v>-10.451998337521728</c:v>
                      </c:pt>
                      <c:pt idx="30">
                        <c:v>-10.654435818652308</c:v>
                      </c:pt>
                      <c:pt idx="31">
                        <c:v>-10.854575431998777</c:v>
                      </c:pt>
                      <c:pt idx="32">
                        <c:v>-11.052524088040251</c:v>
                      </c:pt>
                      <c:pt idx="33">
                        <c:v>-11.248380655563825</c:v>
                      </c:pt>
                      <c:pt idx="34">
                        <c:v>-11.44223678385946</c:v>
                      </c:pt>
                      <c:pt idx="35">
                        <c:v>-11.63417761989164</c:v>
                      </c:pt>
                      <c:pt idx="36">
                        <c:v>-11.824282436393002</c:v>
                      </c:pt>
                      <c:pt idx="37">
                        <c:v>-12.012625184040772</c:v>
                      </c:pt>
                      <c:pt idx="38">
                        <c:v>-12.199274978638783</c:v>
                      </c:pt>
                      <c:pt idx="39">
                        <c:v>-12.384296532417702</c:v>
                      </c:pt>
                      <c:pt idx="40">
                        <c:v>-12.567750537093628</c:v>
                      </c:pt>
                      <c:pt idx="41">
                        <c:v>-12.74969400512062</c:v>
                      </c:pt>
                      <c:pt idx="42">
                        <c:v>-12.930180574581952</c:v>
                      </c:pt>
                      <c:pt idx="43">
                        <c:v>-13.109260782346279</c:v>
                      </c:pt>
                      <c:pt idx="44">
                        <c:v>-13.286982309434892</c:v>
                      </c:pt>
                      <c:pt idx="45">
                        <c:v>-13.463390201979218</c:v>
                      </c:pt>
                      <c:pt idx="46">
                        <c:v>-13.638527070672421</c:v>
                      </c:pt>
                      <c:pt idx="47">
                        <c:v>-13.812433271219499</c:v>
                      </c:pt>
                      <c:pt idx="48">
                        <c:v>-13.985147067952616</c:v>
                      </c:pt>
                      <c:pt idx="49">
                        <c:v>-14.156704782492326</c:v>
                      </c:pt>
                      <c:pt idx="50">
                        <c:v>-14.327140929092124</c:v>
                      </c:pt>
                      <c:pt idx="51">
                        <c:v>-14.496488338095752</c:v>
                      </c:pt>
                      <c:pt idx="52">
                        <c:v>-14.664778268759056</c:v>
                      </c:pt>
                      <c:pt idx="53">
                        <c:v>-14.832040512535178</c:v>
                      </c:pt>
                      <c:pt idx="54">
                        <c:v>-14.998303487790231</c:v>
                      </c:pt>
                      <c:pt idx="55">
                        <c:v>-15.163594326802745</c:v>
                      </c:pt>
                      <c:pt idx="56">
                        <c:v>-15.327938955801581</c:v>
                      </c:pt>
                      <c:pt idx="57">
                        <c:v>-15.491362168711314</c:v>
                      </c:pt>
                      <c:pt idx="58">
                        <c:v>-15.653887695199288</c:v>
                      </c:pt>
                      <c:pt idx="59">
                        <c:v>-15.815538263553544</c:v>
                      </c:pt>
                      <c:pt idx="60">
                        <c:v>-15.976335658863499</c:v>
                      </c:pt>
                      <c:pt idx="61">
                        <c:v>-16.136300776925363</c:v>
                      </c:pt>
                      <c:pt idx="62">
                        <c:v>-16.295453674250005</c:v>
                      </c:pt>
                      <c:pt idx="63">
                        <c:v>-16.453813614512352</c:v>
                      </c:pt>
                      <c:pt idx="64">
                        <c:v>-16.611399111746962</c:v>
                      </c:pt>
                      <c:pt idx="65">
                        <c:v>-16.768227970564045</c:v>
                      </c:pt>
                      <c:pt idx="66">
                        <c:v>-16.92431732363346</c:v>
                      </c:pt>
                      <c:pt idx="67">
                        <c:v>-17.079683666660031</c:v>
                      </c:pt>
                      <c:pt idx="68">
                        <c:v>-17.234342891052489</c:v>
                      </c:pt>
                      <c:pt idx="69">
                        <c:v>-17.38831031446917</c:v>
                      </c:pt>
                      <c:pt idx="70">
                        <c:v>-17.541600709406801</c:v>
                      </c:pt>
                      <c:pt idx="71">
                        <c:v>-17.694228329983414</c:v>
                      </c:pt>
                      <c:pt idx="72">
                        <c:v>-17.846206937052884</c:v>
                      </c:pt>
                      <c:pt idx="73">
                        <c:v>-17.997549821776396</c:v>
                      </c:pt>
                      <c:pt idx="74">
                        <c:v>-18.148269827765159</c:v>
                      </c:pt>
                      <c:pt idx="75">
                        <c:v>-18.298379371898797</c:v>
                      </c:pt>
                      <c:pt idx="76">
                        <c:v>-18.447890463914987</c:v>
                      </c:pt>
                      <c:pt idx="77">
                        <c:v>-18.596814724857769</c:v>
                      </c:pt>
                      <c:pt idx="78">
                        <c:v>-18.745163404464869</c:v>
                      </c:pt>
                      <c:pt idx="79">
                        <c:v>-18.892947397567564</c:v>
                      </c:pt>
                      <c:pt idx="80">
                        <c:v>-19.040177259570868</c:v>
                      </c:pt>
                      <c:pt idx="81">
                        <c:v>-19.18686322107623</c:v>
                      </c:pt>
                      <c:pt idx="82">
                        <c:v>-19.333015201704136</c:v>
                      </c:pt>
                      <c:pt idx="83">
                        <c:v>-19.478642823169505</c:v>
                      </c:pt>
                      <c:pt idx="84">
                        <c:v>-19.623755421658522</c:v>
                      </c:pt>
                      <c:pt idx="85">
                        <c:v>-19.768362059552224</c:v>
                      </c:pt>
                      <c:pt idx="86">
                        <c:v>-19.912471536538227</c:v>
                      </c:pt>
                      <c:pt idx="87">
                        <c:v>-20.056092400149428</c:v>
                      </c:pt>
                      <c:pt idx="88">
                        <c:v>-20.199232955765162</c:v>
                      </c:pt>
                      <c:pt idx="89">
                        <c:v>-20.341901276108118</c:v>
                      </c:pt>
                      <c:pt idx="90">
                        <c:v>-20.484105210267689</c:v>
                      </c:pt>
                      <c:pt idx="91">
                        <c:v>-20.625852392278269</c:v>
                      </c:pt>
                      <c:pt idx="92">
                        <c:v>-20.767150249279045</c:v>
                      </c:pt>
                      <c:pt idx="93">
                        <c:v>-20.908006009280061</c:v>
                      </c:pt>
                      <c:pt idx="94">
                        <c:v>-21.048426708557365</c:v>
                      </c:pt>
                      <c:pt idx="95">
                        <c:v>-21.188419198698824</c:v>
                      </c:pt>
                      <c:pt idx="96">
                        <c:v>-21.327990153320474</c:v>
                      </c:pt>
                      <c:pt idx="97">
                        <c:v>-21.467146074472051</c:v>
                      </c:pt>
                      <c:pt idx="98">
                        <c:v>-21.605893298749137</c:v>
                      </c:pt>
                      <c:pt idx="99">
                        <c:v>-21.744238003128153</c:v>
                      </c:pt>
                      <c:pt idx="100">
                        <c:v>-21.88218621053942</c:v>
                      </c:pt>
                      <c:pt idx="101">
                        <c:v>-22.019743795192511</c:v>
                      </c:pt>
                      <c:pt idx="102">
                        <c:v>-22.156916487667186</c:v>
                      </c:pt>
                      <c:pt idx="103">
                        <c:v>-22.29370987978249</c:v>
                      </c:pt>
                      <c:pt idx="104">
                        <c:v>-22.430129429255643</c:v>
                      </c:pt>
                      <c:pt idx="105">
                        <c:v>-22.566180464161668</c:v>
                      </c:pt>
                      <c:pt idx="106">
                        <c:v>-22.701868187204219</c:v>
                      </c:pt>
                      <c:pt idx="107">
                        <c:v>-22.837197679807126</c:v>
                      </c:pt>
                      <c:pt idx="108">
                        <c:v>-22.972173906035895</c:v>
                      </c:pt>
                      <c:pt idx="109">
                        <c:v>-23.106801716357637</c:v>
                      </c:pt>
                      <c:pt idx="110">
                        <c:v>-23.241085851247544</c:v>
                      </c:pt>
                      <c:pt idx="111">
                        <c:v>-23.375030944649467</c:v>
                      </c:pt>
                      <c:pt idx="112">
                        <c:v>-23.508641527297751</c:v>
                      </c:pt>
                      <c:pt idx="113">
                        <c:v>-23.641922029907107</c:v>
                      </c:pt>
                      <c:pt idx="114">
                        <c:v>-23.774876786236735</c:v>
                      </c:pt>
                      <c:pt idx="115">
                        <c:v>-23.907510036034942</c:v>
                      </c:pt>
                      <c:pt idx="116">
                        <c:v>-24.039825927869661</c:v>
                      </c:pt>
                      <c:pt idx="117">
                        <c:v>-24.171828521850376</c:v>
                      </c:pt>
                      <c:pt idx="118">
                        <c:v>-24.303521792246432</c:v>
                      </c:pt>
                      <c:pt idx="119">
                        <c:v>-24.434909630006583</c:v>
                      </c:pt>
                      <c:pt idx="120">
                        <c:v>-24.565995845184208</c:v>
                      </c:pt>
                      <c:pt idx="121">
                        <c:v>-24.696784169272505</c:v>
                      </c:pt>
                      <c:pt idx="122">
                        <c:v>-24.82727825745377</c:v>
                      </c:pt>
                      <c:pt idx="123">
                        <c:v>-24.957481690766517</c:v>
                      </c:pt>
                      <c:pt idx="124">
                        <c:v>-25.087397978194097</c:v>
                      </c:pt>
                      <c:pt idx="125">
                        <c:v>-25.217030558678303</c:v>
                      </c:pt>
                      <c:pt idx="126">
                        <c:v>-25.346382803061196</c:v>
                      </c:pt>
                      <c:pt idx="127">
                        <c:v>-25.475458015958221</c:v>
                      </c:pt>
                      <c:pt idx="128">
                        <c:v>-25.604259437565645</c:v>
                      </c:pt>
                      <c:pt idx="129">
                        <c:v>-25.73279024540502</c:v>
                      </c:pt>
                      <c:pt idx="130">
                        <c:v>-25.861053556007434</c:v>
                      </c:pt>
                      <c:pt idx="131">
                        <c:v>-25.989052426539949</c:v>
                      </c:pt>
                      <c:pt idx="132">
                        <c:v>-26.116789856376712</c:v>
                      </c:pt>
                      <c:pt idx="133">
                        <c:v>-26.244268788617067</c:v>
                      </c:pt>
                      <c:pt idx="134">
                        <c:v>-26.371492111552655</c:v>
                      </c:pt>
                      <c:pt idx="135">
                        <c:v>-26.49846266008586</c:v>
                      </c:pt>
                      <c:pt idx="136">
                        <c:v>-26.625183217101231</c:v>
                      </c:pt>
                      <c:pt idx="137">
                        <c:v>-26.751656514792085</c:v>
                      </c:pt>
                      <c:pt idx="138">
                        <c:v>-26.87788523594384</c:v>
                      </c:pt>
                      <c:pt idx="139">
                        <c:v>-27.003872015175904</c:v>
                      </c:pt>
                      <c:pt idx="140">
                        <c:v>-27.129619440143731</c:v>
                      </c:pt>
                      <c:pt idx="141">
                        <c:v>-27.255130052702548</c:v>
                      </c:pt>
                      <c:pt idx="142">
                        <c:v>-27.38040635003426</c:v>
                      </c:pt>
                      <c:pt idx="143">
                        <c:v>-27.505450785739033</c:v>
                      </c:pt>
                      <c:pt idx="144">
                        <c:v>-27.630265770892713</c:v>
                      </c:pt>
                      <c:pt idx="145">
                        <c:v>-27.754853675071558</c:v>
                      </c:pt>
                      <c:pt idx="146">
                        <c:v>-27.87921682734541</c:v>
                      </c:pt>
                      <c:pt idx="147">
                        <c:v>-28.003357517240524</c:v>
                      </c:pt>
                      <c:pt idx="148">
                        <c:v>-28.127277995673175</c:v>
                      </c:pt>
                      <c:pt idx="149">
                        <c:v>-28.250980475855094</c:v>
                      </c:pt>
                      <c:pt idx="150">
                        <c:v>-28.374467134171809</c:v>
                      </c:pt>
                      <c:pt idx="151">
                        <c:v>-28.497740111034837</c:v>
                      </c:pt>
                      <c:pt idx="152">
                        <c:v>-28.620801511708706</c:v>
                      </c:pt>
                      <c:pt idx="153">
                        <c:v>-28.743653407113655</c:v>
                      </c:pt>
                      <c:pt idx="154">
                        <c:v>-28.866297834604957</c:v>
                      </c:pt>
                      <c:pt idx="155">
                        <c:v>-28.988736798729636</c:v>
                      </c:pt>
                      <c:pt idx="156">
                        <c:v>-29.110972271961383</c:v>
                      </c:pt>
                      <c:pt idx="157">
                        <c:v>-29.233006195414447</c:v>
                      </c:pt>
                      <c:pt idx="158">
                        <c:v>-29.354840479537224</c:v>
                      </c:pt>
                      <c:pt idx="159">
                        <c:v>-29.47647700478624</c:v>
                      </c:pt>
                      <c:pt idx="160">
                        <c:v>-29.597917622281244</c:v>
                      </c:pt>
                      <c:pt idx="161">
                        <c:v>-29.719164154441941</c:v>
                      </c:pt>
                      <c:pt idx="162">
                        <c:v>-29.840218395607156</c:v>
                      </c:pt>
                      <c:pt idx="163">
                        <c:v>-29.96108211263687</c:v>
                      </c:pt>
                      <c:pt idx="164">
                        <c:v>-30.08175704549776</c:v>
                      </c:pt>
                      <c:pt idx="165">
                        <c:v>-30.202244907832856</c:v>
                      </c:pt>
                      <c:pt idx="166">
                        <c:v>-30.322547387515698</c:v>
                      </c:pt>
                      <c:pt idx="167">
                        <c:v>-30.44266614718962</c:v>
                      </c:pt>
                      <c:pt idx="168">
                        <c:v>-30.562602824792627</c:v>
                      </c:pt>
                      <c:pt idx="169">
                        <c:v>-30.682359034068302</c:v>
                      </c:pt>
                      <c:pt idx="170">
                        <c:v>-30.80193636506317</c:v>
                      </c:pt>
                      <c:pt idx="171">
                        <c:v>-30.921336384611056</c:v>
                      </c:pt>
                      <c:pt idx="172">
                        <c:v>-31.040560636804756</c:v>
                      </c:pt>
                      <c:pt idx="173">
                        <c:v>-31.159610643455469</c:v>
                      </c:pt>
                      <c:pt idx="174">
                        <c:v>-31.278487904540327</c:v>
                      </c:pt>
                      <c:pt idx="175">
                        <c:v>-31.397193898638477</c:v>
                      </c:pt>
                      <c:pt idx="176">
                        <c:v>-31.515730083356026</c:v>
                      </c:pt>
                      <c:pt idx="177">
                        <c:v>-31.634097895740169</c:v>
                      </c:pt>
                      <c:pt idx="178">
                        <c:v>-31.752298752682883</c:v>
                      </c:pt>
                      <c:pt idx="179">
                        <c:v>-31.870334051314476</c:v>
                      </c:pt>
                      <c:pt idx="180">
                        <c:v>-31.988205169387328</c:v>
                      </c:pt>
                      <c:pt idx="181">
                        <c:v>-32.105913465650069</c:v>
                      </c:pt>
                      <c:pt idx="182">
                        <c:v>-32.223460280212564</c:v>
                      </c:pt>
                      <c:pt idx="183">
                        <c:v>-32.340846934901904</c:v>
                      </c:pt>
                      <c:pt idx="184">
                        <c:v>-32.458074733609699</c:v>
                      </c:pt>
                      <c:pt idx="185">
                        <c:v>-32.575144962630965</c:v>
                      </c:pt>
                      <c:pt idx="186">
                        <c:v>-32.692058890994794</c:v>
                      </c:pt>
                      <c:pt idx="187">
                        <c:v>-32.80881777078708</c:v>
                      </c:pt>
                      <c:pt idx="188">
                        <c:v>-32.925422837465547</c:v>
                      </c:pt>
                      <c:pt idx="189">
                        <c:v>-33.041875310167256</c:v>
                      </c:pt>
                      <c:pt idx="190">
                        <c:v>-33.158176392008919</c:v>
                      </c:pt>
                      <c:pt idx="191">
                        <c:v>-33.274327270380006</c:v>
                      </c:pt>
                      <c:pt idx="192">
                        <c:v>-33.390329117229108</c:v>
                      </c:pt>
                      <c:pt idx="193">
                        <c:v>-33.506183089343615</c:v>
                      </c:pt>
                      <c:pt idx="194">
                        <c:v>-33.621890328622854</c:v>
                      </c:pt>
                      <c:pt idx="195">
                        <c:v>-33.737451962345006</c:v>
                      </c:pt>
                      <c:pt idx="196">
                        <c:v>-33.852869103427842</c:v>
                      </c:pt>
                      <c:pt idx="197">
                        <c:v>-33.968142850683591</c:v>
                      </c:pt>
                      <c:pt idx="198">
                        <c:v>-34.083274289067873</c:v>
                      </c:pt>
                      <c:pt idx="199">
                        <c:v>-34.198264489923204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8634-4924-B5DF-66A9EC57A495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Calculate!$F$1</c15:sqref>
                        </c15:formulaRef>
                      </c:ext>
                    </c:extLst>
                    <c:strCache>
                      <c:ptCount val="1"/>
                      <c:pt idx="0">
                        <c:v>Tx_PSD_us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Calculate!$F$2:$F$201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634-4924-B5DF-66A9EC57A49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Calculate!$G$1</c15:sqref>
                        </c15:formulaRef>
                      </c:ext>
                    </c:extLst>
                    <c:strCache>
                      <c:ptCount val="1"/>
                      <c:pt idx="0">
                        <c:v>Tx_PSD_ds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Calculate!$G$2:$G$201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634-4924-B5DF-66A9EC57A495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Calculate!$J$1</c15:sqref>
                        </c15:formulaRef>
                      </c:ext>
                    </c:extLst>
                    <c:strCache>
                      <c:ptCount val="1"/>
                      <c:pt idx="0">
                        <c:v>Echo_transfer_us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Calculate!$J$2:$J$201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634-4924-B5DF-66A9EC57A495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Calculate!$K$1</c15:sqref>
                        </c15:formulaRef>
                      </c:ext>
                    </c:extLst>
                    <c:strCache>
                      <c:ptCount val="1"/>
                      <c:pt idx="0">
                        <c:v>Echo_transfer_ds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Calculate!$K$2:$K$201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634-4924-B5DF-66A9EC57A495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Calculate!$L$1</c15:sqref>
                        </c15:formulaRef>
                      </c:ext>
                    </c:extLst>
                    <c:strCache>
                      <c:ptCount val="1"/>
                      <c:pt idx="0">
                        <c:v>Rx_echo_us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Calculate!$L$2:$L$201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8634-4924-B5DF-66A9EC57A495}"/>
                  </c:ext>
                </c:extLst>
              </c15:ser>
            </c15:filteredScatterSeries>
            <c15:filteredScatte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Calculate!$M$1</c15:sqref>
                        </c15:formulaRef>
                      </c:ext>
                    </c:extLst>
                    <c:strCache>
                      <c:ptCount val="1"/>
                      <c:pt idx="0">
                        <c:v>Rx_echo_ds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Calculate!$M$2:$M$201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8634-4924-B5DF-66A9EC57A495}"/>
                  </c:ext>
                </c:extLst>
              </c15:ser>
            </c15:filteredScatterSeries>
            <c15:filteredScatte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Calculate!$N$1</c15:sqref>
                        </c15:formulaRef>
                      </c:ext>
                    </c:extLst>
                    <c:strCache>
                      <c:ptCount val="1"/>
                      <c:pt idx="0">
                        <c:v>AFE_noise_us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Calculate!$N$2:$N$201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8634-4924-B5DF-66A9EC57A495}"/>
                  </c:ext>
                </c:extLst>
              </c15:ser>
            </c15:filteredScatterSeries>
            <c15:filteredScatte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Calculate!$O$1</c15:sqref>
                        </c15:formulaRef>
                      </c:ext>
                    </c:extLst>
                    <c:strCache>
                      <c:ptCount val="1"/>
                      <c:pt idx="0">
                        <c:v>AFE_noise_ds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Calculate!$O$2:$O$201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8634-4924-B5DF-66A9EC57A495}"/>
                  </c:ext>
                </c:extLst>
              </c15:ser>
            </c15:filteredScatterSeries>
            <c15:filteredScatte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Calculate!$P$1</c15:sqref>
                        </c15:formulaRef>
                      </c:ext>
                    </c:extLst>
                    <c:strCache>
                      <c:ptCount val="1"/>
                      <c:pt idx="0">
                        <c:v>EC_cancelation_us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Calculate!$P$2:$P$201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8634-4924-B5DF-66A9EC57A495}"/>
                  </c:ext>
                </c:extLst>
              </c15:ser>
            </c15:filteredScatterSeries>
            <c15:filteredScatterSeries>
              <c15:ser>
                <c:idx val="13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Calculate!$Q$1</c15:sqref>
                        </c15:formulaRef>
                      </c:ext>
                    </c:extLst>
                    <c:strCache>
                      <c:ptCount val="1"/>
                      <c:pt idx="0">
                        <c:v>EC_cancelation_ds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Calculate!$Q$2:$Q$201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8634-4924-B5DF-66A9EC57A495}"/>
                  </c:ext>
                </c:extLst>
              </c15:ser>
            </c15:filteredScatterSeries>
            <c15:filteredScatte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Calculate!$S$1</c15:sqref>
                        </c15:formulaRef>
                      </c:ext>
                    </c:extLst>
                    <c:strCache>
                      <c:ptCount val="1"/>
                      <c:pt idx="0">
                        <c:v>Echo_res_ds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Calculate!$S$2:$S$201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8634-4924-B5DF-66A9EC57A495}"/>
                  </c:ext>
                </c:extLst>
              </c15:ser>
            </c15:filteredScatterSeries>
            <c15:filteredScatter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Calculate!$X$1</c15:sqref>
                        </c15:formulaRef>
                      </c:ext>
                    </c:extLst>
                    <c:strCache>
                      <c:ptCount val="1"/>
                      <c:pt idx="0">
                        <c:v>SNRdB_us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Calculate!$X$2:$X$201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634-4924-B5DF-66A9EC57A495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Calculate!$Y$1</c15:sqref>
                        </c15:formulaRef>
                      </c:ext>
                    </c:extLst>
                    <c:strCache>
                      <c:ptCount val="1"/>
                      <c:pt idx="0">
                        <c:v>SNRdB_ds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Calculate!$Y$2:$Y$201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8634-4924-B5DF-66A9EC57A495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Calculate!$Z$1</c15:sqref>
                        </c15:formulaRef>
                      </c:ext>
                    </c:extLst>
                    <c:strCache>
                      <c:ptCount val="1"/>
                      <c:pt idx="0">
                        <c:v>SNR_us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Calculate!$Z$2:$Z$201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8634-4924-B5DF-66A9EC57A495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Calculate!$AA$1</c15:sqref>
                        </c15:formulaRef>
                      </c:ext>
                    </c:extLst>
                    <c:strCache>
                      <c:ptCount val="1"/>
                      <c:pt idx="0">
                        <c:v>SNR_ds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Calculate!$AA$2:$AA$201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634-4924-B5DF-66A9EC57A495}"/>
                  </c:ext>
                </c:extLst>
              </c15:ser>
            </c15:filteredScatterSeries>
          </c:ext>
        </c:extLst>
      </c:scatterChart>
      <c:valAx>
        <c:axId val="93252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7584"/>
        <c:crosses val="autoZero"/>
        <c:crossBetween val="midCat"/>
        <c:dispUnits>
          <c:builtInUnit val="billions"/>
        </c:dispUnits>
      </c:valAx>
      <c:valAx>
        <c:axId val="932527584"/>
        <c:scaling>
          <c:orientation val="minMax"/>
          <c:max val="-60"/>
          <c:min val="-1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Insertion Loss and Echo Transfer Function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tx>
            <c:strRef>
              <c:f>Calculate!$C$1</c:f>
              <c:strCache>
                <c:ptCount val="1"/>
                <c:pt idx="0">
                  <c:v>IL_Cable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Calculate!$C$2:$C$201</c:f>
              <c:numCache>
                <c:formatCode>0.00E+00</c:formatCode>
                <c:ptCount val="200"/>
                <c:pt idx="0">
                  <c:v>-1.6086600973579019</c:v>
                </c:pt>
                <c:pt idx="1">
                  <c:v>-2.3017195625033811</c:v>
                </c:pt>
                <c:pt idx="2">
                  <c:v>-2.8441401407273181</c:v>
                </c:pt>
                <c:pt idx="3">
                  <c:v>-3.308584293214575</c:v>
                </c:pt>
                <c:pt idx="4">
                  <c:v>-3.7231972125563821</c:v>
                </c:pt>
                <c:pt idx="5">
                  <c:v>-4.1024134670205363</c:v>
                </c:pt>
                <c:pt idx="6">
                  <c:v>-4.4548078522595347</c:v>
                </c:pt>
                <c:pt idx="7">
                  <c:v>-4.7859673220043044</c:v>
                </c:pt>
                <c:pt idx="8">
                  <c:v>-5.0997725875700182</c:v>
                </c:pt>
                <c:pt idx="9">
                  <c:v>-5.3990491712440027</c:v>
                </c:pt>
                <c:pt idx="10">
                  <c:v>-5.685930114120759</c:v>
                </c:pt>
                <c:pt idx="11">
                  <c:v>-5.9620725769509502</c:v>
                </c:pt>
                <c:pt idx="12">
                  <c:v>-6.2287944126856614</c:v>
                </c:pt>
                <c:pt idx="13">
                  <c:v>-6.4871641314314834</c:v>
                </c:pt>
                <c:pt idx="14">
                  <c:v>-6.7380623387201517</c:v>
                </c:pt>
                <c:pt idx="15">
                  <c:v>-6.9822249804242347</c:v>
                </c:pt>
                <c:pt idx="16">
                  <c:v>-7.2202745753939679</c:v>
                </c:pt>
                <c:pt idx="17">
                  <c:v>-7.4527432785027692</c:v>
                </c:pt>
                <c:pt idx="18">
                  <c:v>-7.6800902433629776</c:v>
                </c:pt>
                <c:pt idx="19">
                  <c:v>-7.9027149176066178</c:v>
                </c:pt>
                <c:pt idx="20">
                  <c:v>-8.1209673780334501</c:v>
                </c:pt>
                <c:pt idx="21">
                  <c:v>-8.3351564733807191</c:v>
                </c:pt>
                <c:pt idx="22">
                  <c:v>-8.54555631767664</c:v>
                </c:pt>
                <c:pt idx="23">
                  <c:v>-8.7524115250336969</c:v>
                </c:pt>
                <c:pt idx="24">
                  <c:v>-8.9559414717772192</c:v>
                </c:pt>
                <c:pt idx="25">
                  <c:v>-9.1563437980821885</c:v>
                </c:pt>
                <c:pt idx="26">
                  <c:v>-9.3537973086708934</c:v>
                </c:pt>
                <c:pt idx="27">
                  <c:v>-9.5484643940104643</c:v>
                </c:pt>
                <c:pt idx="28">
                  <c:v>-9.7404930654702966</c:v>
                </c:pt>
                <c:pt idx="29">
                  <c:v>-9.9300186771046075</c:v>
                </c:pt>
                <c:pt idx="30">
                  <c:v>-10.117165391093316</c:v>
                </c:pt>
                <c:pt idx="31">
                  <c:v>-10.302047431998776</c:v>
                </c:pt>
                <c:pt idx="32">
                  <c:v>-10.484770165885148</c:v>
                </c:pt>
                <c:pt idx="33">
                  <c:v>-10.665431033293812</c:v>
                </c:pt>
                <c:pt idx="34">
                  <c:v>-10.844120359560939</c:v>
                </c:pt>
                <c:pt idx="35">
                  <c:v>-11.020922061628974</c:v>
                </c:pt>
                <c:pt idx="36">
                  <c:v>-11.195914267066911</c:v>
                </c:pt>
                <c:pt idx="37">
                  <c:v>-11.369169858270054</c:v>
                </c:pt>
                <c:pt idx="38">
                  <c:v>-11.540756952604273</c:v>
                </c:pt>
                <c:pt idx="39">
                  <c:v>-11.710739327475716</c:v>
                </c:pt>
                <c:pt idx="40">
                  <c:v>-11.879176797855802</c:v>
                </c:pt>
                <c:pt idx="41">
                  <c:v>-12.046125552604051</c:v>
                </c:pt>
                <c:pt idx="42">
                  <c:v>-12.211638454954921</c:v>
                </c:pt>
                <c:pt idx="43">
                  <c:v>-12.375765311727999</c:v>
                </c:pt>
                <c:pt idx="44">
                  <c:v>-12.538553115150709</c:v>
                </c:pt>
                <c:pt idx="45">
                  <c:v>-12.700046260623886</c:v>
                </c:pt>
                <c:pt idx="46">
                  <c:v>-12.860286743292132</c:v>
                </c:pt>
                <c:pt idx="47">
                  <c:v>-13.019314335887149</c:v>
                </c:pt>
                <c:pt idx="48">
                  <c:v>-13.177166749979506</c:v>
                </c:pt>
                <c:pt idx="49">
                  <c:v>-13.333879782492327</c:v>
                </c:pt>
                <c:pt idx="50">
                  <c:v>-13.489487449090658</c:v>
                </c:pt>
                <c:pt idx="51">
                  <c:v>-13.644022105855345</c:v>
                </c:pt>
                <c:pt idx="52">
                  <c:v>-13.797514560475067</c:v>
                </c:pt>
                <c:pt idx="53">
                  <c:v>-13.949994174039483</c:v>
                </c:pt>
                <c:pt idx="54">
                  <c:v>-14.101488954386667</c:v>
                </c:pt>
                <c:pt idx="55">
                  <c:v>-14.252025641845758</c:v>
                </c:pt>
                <c:pt idx="56">
                  <c:v>-14.401629788118674</c:v>
                </c:pt>
                <c:pt idx="57">
                  <c:v>-14.550325828960156</c:v>
                </c:pt>
                <c:pt idx="58">
                  <c:v>-14.698137151241845</c:v>
                </c:pt>
                <c:pt idx="59">
                  <c:v>-14.845086154921869</c:v>
                </c:pt>
                <c:pt idx="60">
                  <c:v>-14.991194310385065</c:v>
                </c:pt>
                <c:pt idx="61">
                  <c:v>-15.136482211569669</c:v>
                </c:pt>
                <c:pt idx="62">
                  <c:v>-15.280969625252791</c:v>
                </c:pt>
                <c:pt idx="63">
                  <c:v>-15.424675536828801</c:v>
                </c:pt>
                <c:pt idx="64">
                  <c:v>-15.567618192880904</c:v>
                </c:pt>
                <c:pt idx="65">
                  <c:v>-15.709815140816211</c:v>
                </c:pt>
                <c:pt idx="66">
                  <c:v>-15.851283265808258</c:v>
                </c:pt>
                <c:pt idx="67">
                  <c:v>-15.992038825267043</c:v>
                </c:pt>
                <c:pt idx="68">
                  <c:v>-16.132097481036062</c:v>
                </c:pt>
                <c:pt idx="69">
                  <c:v>-16.271474329496741</c:v>
                </c:pt>
                <c:pt idx="70">
                  <c:v>-16.410183929744232</c:v>
                </c:pt>
                <c:pt idx="71">
                  <c:v>-16.548240329983415</c:v>
                </c:pt>
                <c:pt idx="72">
                  <c:v>-16.685657092280653</c:v>
                </c:pt>
                <c:pt idx="73">
                  <c:v>-16.822447315794733</c:v>
                </c:pt>
                <c:pt idx="74">
                  <c:v>-16.95862365859972</c:v>
                </c:pt>
                <c:pt idx="75">
                  <c:v>-17.0941983582026</c:v>
                </c:pt>
                <c:pt idx="76">
                  <c:v>-17.229183250849935</c:v>
                </c:pt>
                <c:pt idx="77">
                  <c:v>-17.36358978970966</c:v>
                </c:pt>
                <c:pt idx="78">
                  <c:v>-17.497429062007249</c:v>
                </c:pt>
                <c:pt idx="79">
                  <c:v>-17.630711805188653</c:v>
                </c:pt>
                <c:pt idx="80">
                  <c:v>-17.763448422176872</c:v>
                </c:pt>
                <c:pt idx="81">
                  <c:v>-17.895648995783404</c:v>
                </c:pt>
                <c:pt idx="82">
                  <c:v>-18.02732330233119</c:v>
                </c:pt>
                <c:pt idx="83">
                  <c:v>-18.15848082454109</c:v>
                </c:pt>
                <c:pt idx="84">
                  <c:v>-18.289130763729958</c:v>
                </c:pt>
                <c:pt idx="85">
                  <c:v>-18.419282051364839</c:v>
                </c:pt>
                <c:pt idx="86">
                  <c:v>-18.548943360014206</c:v>
                </c:pt>
                <c:pt idx="87">
                  <c:v>-18.678123113734397</c:v>
                </c:pt>
                <c:pt idx="88">
                  <c:v>-18.806829497926316</c:v>
                </c:pt>
                <c:pt idx="89">
                  <c:v>-18.935070468695137</c:v>
                </c:pt>
                <c:pt idx="90">
                  <c:v>-19.06285376174333</c:v>
                </c:pt>
                <c:pt idx="91">
                  <c:v>-19.190186900825008</c:v>
                </c:pt>
                <c:pt idx="92">
                  <c:v>-19.317077205787875</c:v>
                </c:pt>
                <c:pt idx="93">
                  <c:v>-19.443531800227067</c:v>
                </c:pt>
                <c:pt idx="94">
                  <c:v>-19.569557618773501</c:v>
                </c:pt>
                <c:pt idx="95">
                  <c:v>-19.695161414037898</c:v>
                </c:pt>
                <c:pt idx="96">
                  <c:v>-19.820349763230091</c:v>
                </c:pt>
                <c:pt idx="97">
                  <c:v>-19.94512907447205</c:v>
                </c:pt>
                <c:pt idx="98">
                  <c:v>-20.069505592821717</c:v>
                </c:pt>
                <c:pt idx="99">
                  <c:v>-20.193485406023711</c:v>
                </c:pt>
                <c:pt idx="100">
                  <c:v>-20.317074450001879</c:v>
                </c:pt>
                <c:pt idx="101">
                  <c:v>-20.440278514107721</c:v>
                </c:pt>
                <c:pt idx="102">
                  <c:v>-20.563103246137786</c:v>
                </c:pt>
                <c:pt idx="103">
                  <c:v>-20.685554157132422</c:v>
                </c:pt>
                <c:pt idx="104">
                  <c:v>-20.807636625967373</c:v>
                </c:pt>
                <c:pt idx="105">
                  <c:v>-20.929355903748981</c:v>
                </c:pt>
                <c:pt idx="106">
                  <c:v>-21.050717118023307</c:v>
                </c:pt>
                <c:pt idx="107">
                  <c:v>-21.171725276808601</c:v>
                </c:pt>
                <c:pt idx="108">
                  <c:v>-21.292385272460113</c:v>
                </c:pt>
                <c:pt idx="109">
                  <c:v>-21.412701885375736</c:v>
                </c:pt>
                <c:pt idx="110">
                  <c:v>-21.532679787550371</c:v>
                </c:pt>
                <c:pt idx="111">
                  <c:v>-21.652323545986516</c:v>
                </c:pt>
                <c:pt idx="112">
                  <c:v>-21.771637625968111</c:v>
                </c:pt>
                <c:pt idx="113">
                  <c:v>-21.890626394204336</c:v>
                </c:pt>
                <c:pt idx="114">
                  <c:v>-22.009294121849464</c:v>
                </c:pt>
                <c:pt idx="115">
                  <c:v>-22.127644987404953</c:v>
                </c:pt>
                <c:pt idx="116">
                  <c:v>-22.24568307950905</c:v>
                </c:pt>
                <c:pt idx="117">
                  <c:v>-22.363412399619431</c:v>
                </c:pt>
                <c:pt idx="118">
                  <c:v>-22.480836864593659</c:v>
                </c:pt>
                <c:pt idx="119">
                  <c:v>-22.597960309172343</c:v>
                </c:pt>
                <c:pt idx="120">
                  <c:v>-22.714786488369324</c:v>
                </c:pt>
                <c:pt idx="121">
                  <c:v>-22.831319079773127</c:v>
                </c:pt>
                <c:pt idx="122">
                  <c:v>-22.94756168576377</c:v>
                </c:pt>
                <c:pt idx="123">
                  <c:v>-23.063517835648533</c:v>
                </c:pt>
                <c:pt idx="124">
                  <c:v>-23.179190987720457</c:v>
                </c:pt>
                <c:pt idx="125">
                  <c:v>-23.294584531242826</c:v>
                </c:pt>
                <c:pt idx="126">
                  <c:v>-23.409701788362948</c:v>
                </c:pt>
                <c:pt idx="127">
                  <c:v>-23.524546015958222</c:v>
                </c:pt>
                <c:pt idx="128">
                  <c:v>-23.639120407417458</c:v>
                </c:pt>
                <c:pt idx="129">
                  <c:v>-23.753428094360146</c:v>
                </c:pt>
                <c:pt idx="130">
                  <c:v>-23.867472148296368</c:v>
                </c:pt>
                <c:pt idx="131">
                  <c:v>-23.981255582229743</c:v>
                </c:pt>
                <c:pt idx="132">
                  <c:v>-24.09478135220585</c:v>
                </c:pt>
                <c:pt idx="133">
                  <c:v>-24.208052358808398</c:v>
                </c:pt>
                <c:pt idx="134">
                  <c:v>-24.321071448605146</c:v>
                </c:pt>
                <c:pt idx="135">
                  <c:v>-24.433841415545835</c:v>
                </c:pt>
                <c:pt idx="136">
                  <c:v>-24.546365002313831</c:v>
                </c:pt>
                <c:pt idx="137">
                  <c:v>-24.65864490163354</c:v>
                </c:pt>
                <c:pt idx="138">
                  <c:v>-24.770683757535203</c:v>
                </c:pt>
                <c:pt idx="139">
                  <c:v>-24.882484166578863</c:v>
                </c:pt>
                <c:pt idx="140">
                  <c:v>-24.994048679039036</c:v>
                </c:pt>
                <c:pt idx="141">
                  <c:v>-25.105379800051633</c:v>
                </c:pt>
                <c:pt idx="142">
                  <c:v>-25.216479990724597</c:v>
                </c:pt>
                <c:pt idx="143">
                  <c:v>-25.327351669213702</c:v>
                </c:pt>
                <c:pt idx="144">
                  <c:v>-25.437997211764706</c:v>
                </c:pt>
                <c:pt idx="145">
                  <c:v>-25.548418953723271</c:v>
                </c:pt>
                <c:pt idx="146">
                  <c:v>-25.658619190513797</c:v>
                </c:pt>
                <c:pt idx="147">
                  <c:v>-25.768600178588343</c:v>
                </c:pt>
                <c:pt idx="148">
                  <c:v>-25.878364136346736</c:v>
                </c:pt>
                <c:pt idx="149">
                  <c:v>-25.987913245028935</c:v>
                </c:pt>
                <c:pt idx="150">
                  <c:v>-26.097249649580686</c:v>
                </c:pt>
                <c:pt idx="151">
                  <c:v>-26.206375459493401</c:v>
                </c:pt>
                <c:pt idx="152">
                  <c:v>-26.315292749619225</c:v>
                </c:pt>
                <c:pt idx="153">
                  <c:v>-26.424003560962149</c:v>
                </c:pt>
                <c:pt idx="154">
                  <c:v>-26.53250990144608</c:v>
                </c:pt>
                <c:pt idx="155">
                  <c:v>-26.640813746660616</c:v>
                </c:pt>
                <c:pt idx="156">
                  <c:v>-26.74891704058534</c:v>
                </c:pt>
                <c:pt idx="157">
                  <c:v>-26.856821696293423</c:v>
                </c:pt>
                <c:pt idx="158">
                  <c:v>-26.964529596635167</c:v>
                </c:pt>
                <c:pt idx="159">
                  <c:v>-27.072042594902268</c:v>
                </c:pt>
                <c:pt idx="160">
                  <c:v>-27.179362515473436</c:v>
                </c:pt>
                <c:pt idx="161">
                  <c:v>-27.28649115444194</c:v>
                </c:pt>
                <c:pt idx="162">
                  <c:v>-27.393430280225818</c:v>
                </c:pt>
                <c:pt idx="163">
                  <c:v>-27.500181634161216</c:v>
                </c:pt>
                <c:pt idx="164">
                  <c:v>-27.606746931079485</c:v>
                </c:pt>
                <c:pt idx="165">
                  <c:v>-27.713127859868582</c:v>
                </c:pt>
                <c:pt idx="166">
                  <c:v>-27.819326084019245</c:v>
                </c:pt>
                <c:pt idx="167">
                  <c:v>-27.92534324215648</c:v>
                </c:pt>
                <c:pt idx="168">
                  <c:v>-28.031180948556852</c:v>
                </c:pt>
                <c:pt idx="169">
                  <c:v>-28.136840793652013</c:v>
                </c:pt>
                <c:pt idx="170">
                  <c:v>-28.242324344518877</c:v>
                </c:pt>
                <c:pt idx="171">
                  <c:v>-28.347633145356994</c:v>
                </c:pt>
                <c:pt idx="172">
                  <c:v>-28.452768717953397</c:v>
                </c:pt>
                <c:pt idx="173">
                  <c:v>-28.557732562135392</c:v>
                </c:pt>
                <c:pt idx="174">
                  <c:v>-28.662526156211637</c:v>
                </c:pt>
                <c:pt idx="175">
                  <c:v>-28.767150957401917</c:v>
                </c:pt>
                <c:pt idx="176">
                  <c:v>-28.871608402255951</c:v>
                </c:pt>
                <c:pt idx="177">
                  <c:v>-28.975899907061535</c:v>
                </c:pt>
                <c:pt idx="178">
                  <c:v>-29.080026868242406</c:v>
                </c:pt>
                <c:pt idx="179">
                  <c:v>-29.183990662746108</c:v>
                </c:pt>
                <c:pt idx="180">
                  <c:v>-29.287792648422194</c:v>
                </c:pt>
                <c:pt idx="181">
                  <c:v>-29.391434164390979</c:v>
                </c:pt>
                <c:pt idx="182">
                  <c:v>-29.49491653140328</c:v>
                </c:pt>
                <c:pt idx="183">
                  <c:v>-29.598241052191238</c:v>
                </c:pt>
                <c:pt idx="184">
                  <c:v>-29.701409011810622</c:v>
                </c:pt>
                <c:pt idx="185">
                  <c:v>-29.804421677974794</c:v>
                </c:pt>
                <c:pt idx="186">
                  <c:v>-29.907280301380609</c:v>
                </c:pt>
                <c:pt idx="187">
                  <c:v>-30.0099861160265</c:v>
                </c:pt>
                <c:pt idx="188">
                  <c:v>-30.112540339522923</c:v>
                </c:pt>
                <c:pt idx="189">
                  <c:v>-30.214944173395448</c:v>
                </c:pt>
                <c:pt idx="190">
                  <c:v>-30.317198803380709</c:v>
                </c:pt>
                <c:pt idx="191">
                  <c:v>-30.419305399715306</c:v>
                </c:pt>
                <c:pt idx="192">
                  <c:v>-30.521265117418015</c:v>
                </c:pt>
                <c:pt idx="193">
                  <c:v>-30.623079096565419</c:v>
                </c:pt>
                <c:pt idx="194">
                  <c:v>-30.72474846256112</c:v>
                </c:pt>
                <c:pt idx="195">
                  <c:v>-30.826274326398789</c:v>
                </c:pt>
                <c:pt idx="196">
                  <c:v>-30.92765778491912</c:v>
                </c:pt>
                <c:pt idx="197">
                  <c:v>-31.028899921061043</c:v>
                </c:pt>
                <c:pt idx="198">
                  <c:v>-31.130001804107057</c:v>
                </c:pt>
                <c:pt idx="199">
                  <c:v>-31.230964489923203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3-5169-4604-BD43-F47A4CB4DF59}"/>
            </c:ext>
          </c:extLst>
        </c:ser>
        <c:ser>
          <c:idx val="2"/>
          <c:order val="2"/>
          <c:tx>
            <c:strRef>
              <c:f>Calculate!$D$1</c:f>
              <c:strCache>
                <c:ptCount val="1"/>
                <c:pt idx="0">
                  <c:v>IL_PCB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Calculate!$D$2:$D$201</c:f>
              <c:numCache>
                <c:formatCode>0.00E+00</c:formatCode>
                <c:ptCount val="200"/>
                <c:pt idx="0">
                  <c:v>-3.6126759710444142E-2</c:v>
                </c:pt>
                <c:pt idx="1">
                  <c:v>-5.8833000000000003E-2</c:v>
                </c:pt>
                <c:pt idx="2">
                  <c:v>-7.9331233833087489E-2</c:v>
                </c:pt>
                <c:pt idx="3">
                  <c:v>-9.8686519420888283E-2</c:v>
                </c:pt>
                <c:pt idx="4">
                  <c:v>-0.11731139809472775</c:v>
                </c:pt>
                <c:pt idx="5">
                  <c:v>-0.13541744616523163</c:v>
                </c:pt>
                <c:pt idx="6">
                  <c:v>-0.15313034966573785</c:v>
                </c:pt>
                <c:pt idx="7">
                  <c:v>-0.17053200000000002</c:v>
                </c:pt>
                <c:pt idx="8">
                  <c:v>-0.18767927913133242</c:v>
                </c:pt>
                <c:pt idx="9">
                  <c:v>-0.20461360247099319</c:v>
                </c:pt>
                <c:pt idx="10">
                  <c:v>-0.22136623530913957</c:v>
                </c:pt>
                <c:pt idx="11">
                  <c:v>-0.23796146766617499</c:v>
                </c:pt>
                <c:pt idx="12">
                  <c:v>-0.25441861612020317</c:v>
                </c:pt>
                <c:pt idx="13">
                  <c:v>-0.27075334247849275</c:v>
                </c:pt>
                <c:pt idx="14">
                  <c:v>-0.28697855431583696</c:v>
                </c:pt>
                <c:pt idx="15">
                  <c:v>-0.30310503884177659</c:v>
                </c:pt>
                <c:pt idx="16">
                  <c:v>-0.31914192069649394</c:v>
                </c:pt>
                <c:pt idx="17">
                  <c:v>-0.33509700000000003</c:v>
                </c:pt>
                <c:pt idx="18">
                  <c:v>-0.35097700684809746</c:v>
                </c:pt>
                <c:pt idx="19">
                  <c:v>-0.36678779618945551</c:v>
                </c:pt>
                <c:pt idx="20">
                  <c:v>-0.38253449931420741</c:v>
                </c:pt>
                <c:pt idx="21">
                  <c:v>-0.39822164320751502</c:v>
                </c:pt>
                <c:pt idx="22">
                  <c:v>-0.4138532457266294</c:v>
                </c:pt>
                <c:pt idx="23">
                  <c:v>-0.42943289233046328</c:v>
                </c:pt>
                <c:pt idx="24">
                  <c:v>-0.44496379855222074</c:v>
                </c:pt>
                <c:pt idx="25">
                  <c:v>-0.46044886132503332</c:v>
                </c:pt>
                <c:pt idx="26">
                  <c:v>-0.47589070149926255</c:v>
                </c:pt>
                <c:pt idx="27">
                  <c:v>-0.49129169933147576</c:v>
                </c:pt>
                <c:pt idx="28">
                  <c:v>-0.5066540243149954</c:v>
                </c:pt>
                <c:pt idx="29">
                  <c:v>-0.52197966041712041</c:v>
                </c:pt>
                <c:pt idx="30">
                  <c:v>-0.53727042755899146</c:v>
                </c:pt>
                <c:pt idx="31">
                  <c:v>-0.55252800000000013</c:v>
                </c:pt>
                <c:pt idx="32">
                  <c:v>-0.56775392215510267</c:v>
                </c:pt>
                <c:pt idx="33">
                  <c:v>-0.58294962227001235</c:v>
                </c:pt>
                <c:pt idx="34">
                  <c:v>-0.5981164242985203</c:v>
                </c:pt>
                <c:pt idx="35">
                  <c:v>-0.61325555826266487</c:v>
                </c:pt>
                <c:pt idx="36">
                  <c:v>-0.62836816932609063</c:v>
                </c:pt>
                <c:pt idx="37">
                  <c:v>-0.64345532577071796</c:v>
                </c:pt>
                <c:pt idx="38">
                  <c:v>-0.65851802603451115</c:v>
                </c:pt>
                <c:pt idx="39">
                  <c:v>-0.67355720494198634</c:v>
                </c:pt>
                <c:pt idx="40">
                  <c:v>-0.68857373923782628</c:v>
                </c:pt>
                <c:pt idx="41">
                  <c:v>-0.70356845251656919</c:v>
                </c:pt>
                <c:pt idx="42">
                  <c:v>-0.71854211962703052</c:v>
                </c:pt>
                <c:pt idx="43">
                  <c:v>-0.73349547061827913</c:v>
                </c:pt>
                <c:pt idx="44">
                  <c:v>-0.74842919428418331</c:v>
                </c:pt>
                <c:pt idx="45">
                  <c:v>-0.76334394135533212</c:v>
                </c:pt>
                <c:pt idx="46">
                  <c:v>-0.77824032738028914</c:v>
                </c:pt>
                <c:pt idx="47">
                  <c:v>-0.79311893533235012</c:v>
                </c:pt>
                <c:pt idx="48">
                  <c:v>-0.8079803179731091</c:v>
                </c:pt>
                <c:pt idx="49">
                  <c:v>-0.82282500000000014</c:v>
                </c:pt>
                <c:pt idx="50">
                  <c:v>-0.83765348000146567</c:v>
                </c:pt>
                <c:pt idx="51">
                  <c:v>-0.85246623224040641</c:v>
                </c:pt>
                <c:pt idx="52">
                  <c:v>-0.86726370828398947</c:v>
                </c:pt>
                <c:pt idx="53">
                  <c:v>-0.88204633849569503</c:v>
                </c:pt>
                <c:pt idx="54">
                  <c:v>-0.89681453340356476</c:v>
                </c:pt>
                <c:pt idx="55">
                  <c:v>-0.91156868495698562</c:v>
                </c:pt>
                <c:pt idx="56">
                  <c:v>-0.92630916768290739</c:v>
                </c:pt>
                <c:pt idx="57">
                  <c:v>-0.94103633975115808</c:v>
                </c:pt>
                <c:pt idx="58">
                  <c:v>-0.95575054395744352</c:v>
                </c:pt>
                <c:pt idx="59">
                  <c:v>-0.97045210863167397</c:v>
                </c:pt>
                <c:pt idx="60">
                  <c:v>-0.98514134847843371</c:v>
                </c:pt>
                <c:pt idx="61">
                  <c:v>-0.9998185653556928</c:v>
                </c:pt>
                <c:pt idx="62">
                  <c:v>-1.0144840489972136</c:v>
                </c:pt>
                <c:pt idx="63">
                  <c:v>-1.0291380776835533</c:v>
                </c:pt>
                <c:pt idx="64">
                  <c:v>-1.0437809188660605</c:v>
                </c:pt>
                <c:pt idx="65">
                  <c:v>-1.0584128297478324</c:v>
                </c:pt>
                <c:pt idx="66">
                  <c:v>-1.0730340578252018</c:v>
                </c:pt>
                <c:pt idx="67">
                  <c:v>-1.087644841392988</c:v>
                </c:pt>
                <c:pt idx="68">
                  <c:v>-1.1022454100164261</c:v>
                </c:pt>
                <c:pt idx="69">
                  <c:v>-1.1168359849724276</c:v>
                </c:pt>
                <c:pt idx="70">
                  <c:v>-1.1314167796625705</c:v>
                </c:pt>
                <c:pt idx="71">
                  <c:v>-1.145988</c:v>
                </c:pt>
                <c:pt idx="72">
                  <c:v>-1.1605498447722322</c:v>
                </c:pt>
                <c:pt idx="73">
                  <c:v>-1.1751025059816624</c:v>
                </c:pt>
                <c:pt idx="74">
                  <c:v>-1.1896461691654376</c:v>
                </c:pt>
                <c:pt idx="75">
                  <c:v>-1.204181013696195</c:v>
                </c:pt>
                <c:pt idx="76">
                  <c:v>-1.218707213065052</c:v>
                </c:pt>
                <c:pt idx="77">
                  <c:v>-1.2332249351481084</c:v>
                </c:pt>
                <c:pt idx="78">
                  <c:v>-1.2477343424576199</c:v>
                </c:pt>
                <c:pt idx="79">
                  <c:v>-1.262235592378911</c:v>
                </c:pt>
                <c:pt idx="80">
                  <c:v>-1.2767288373939976</c:v>
                </c:pt>
                <c:pt idx="81">
                  <c:v>-1.2912142252928245</c:v>
                </c:pt>
                <c:pt idx="82">
                  <c:v>-1.3056918993729472</c:v>
                </c:pt>
                <c:pt idx="83">
                  <c:v>-1.320161998628415</c:v>
                </c:pt>
                <c:pt idx="84">
                  <c:v>-1.3346246579285659</c:v>
                </c:pt>
                <c:pt idx="85">
                  <c:v>-1.3490800081873848</c:v>
                </c:pt>
                <c:pt idx="86">
                  <c:v>-1.3635281765240217</c:v>
                </c:pt>
                <c:pt idx="87">
                  <c:v>-1.3779692864150301</c:v>
                </c:pt>
                <c:pt idx="88">
                  <c:v>-1.3924034578388467</c:v>
                </c:pt>
                <c:pt idx="89">
                  <c:v>-1.4068308074129798</c:v>
                </c:pt>
                <c:pt idx="90">
                  <c:v>-1.4212514485243593</c:v>
                </c:pt>
                <c:pt idx="91">
                  <c:v>-1.4356654914532589</c:v>
                </c:pt>
                <c:pt idx="92">
                  <c:v>-1.4500730434911711</c:v>
                </c:pt>
                <c:pt idx="93">
                  <c:v>-1.4644742090529939</c:v>
                </c:pt>
                <c:pt idx="94">
                  <c:v>-1.4788690897838617</c:v>
                </c:pt>
                <c:pt idx="95">
                  <c:v>-1.4932577846609267</c:v>
                </c:pt>
                <c:pt idx="96">
                  <c:v>-1.507640390090383</c:v>
                </c:pt>
                <c:pt idx="97">
                  <c:v>-1.5220170000000004</c:v>
                </c:pt>
                <c:pt idx="98">
                  <c:v>-1.5363877059274191</c:v>
                </c:pt>
                <c:pt idx="99">
                  <c:v>-1.5507525971044418</c:v>
                </c:pt>
                <c:pt idx="100">
                  <c:v>-1.5651117605375409</c:v>
                </c:pt>
                <c:pt idx="101">
                  <c:v>-1.5794652810847885</c:v>
                </c:pt>
                <c:pt idx="102">
                  <c:v>-1.5938132415293991</c:v>
                </c:pt>
                <c:pt idx="103">
                  <c:v>-1.6081557226500669</c:v>
                </c:pt>
                <c:pt idx="104">
                  <c:v>-1.6224928032882691</c:v>
                </c:pt>
                <c:pt idx="105">
                  <c:v>-1.636824560412689</c:v>
                </c:pt>
                <c:pt idx="106">
                  <c:v>-1.6511510691809104</c:v>
                </c:pt>
                <c:pt idx="107">
                  <c:v>-1.6654724029985251</c:v>
                </c:pt>
                <c:pt idx="108">
                  <c:v>-1.6797886335757812</c:v>
                </c:pt>
                <c:pt idx="109">
                  <c:v>-1.6940998309818998</c:v>
                </c:pt>
                <c:pt idx="110">
                  <c:v>-1.7084060636971719</c:v>
                </c:pt>
                <c:pt idx="111">
                  <c:v>-1.7227073986629517</c:v>
                </c:pt>
                <c:pt idx="112">
                  <c:v>-1.7370039013296412</c:v>
                </c:pt>
                <c:pt idx="113">
                  <c:v>-1.7512956357027725</c:v>
                </c:pt>
                <c:pt idx="114">
                  <c:v>-1.7655826643872705</c:v>
                </c:pt>
                <c:pt idx="115">
                  <c:v>-1.779865048629991</c:v>
                </c:pt>
                <c:pt idx="116">
                  <c:v>-1.7941428483606094</c:v>
                </c:pt>
                <c:pt idx="117">
                  <c:v>-1.8084161222309432</c:v>
                </c:pt>
                <c:pt idx="118">
                  <c:v>-1.822684927652773</c:v>
                </c:pt>
                <c:pt idx="119">
                  <c:v>-1.8369493208342409</c:v>
                </c:pt>
                <c:pt idx="120">
                  <c:v>-1.8512093568148855</c:v>
                </c:pt>
                <c:pt idx="121">
                  <c:v>-1.8654650894993761</c:v>
                </c:pt>
                <c:pt idx="122">
                  <c:v>-1.8797165716900019</c:v>
                </c:pt>
                <c:pt idx="123">
                  <c:v>-1.8939638551179832</c:v>
                </c:pt>
                <c:pt idx="124">
                  <c:v>-1.908206990473639</c:v>
                </c:pt>
                <c:pt idx="125">
                  <c:v>-1.9224460274354784</c:v>
                </c:pt>
                <c:pt idx="126">
                  <c:v>-1.9366810146982498</c:v>
                </c:pt>
                <c:pt idx="127">
                  <c:v>-1.9509120000000004</c:v>
                </c:pt>
                <c:pt idx="128">
                  <c:v>-1.9651390301481861</c:v>
                </c:pt>
                <c:pt idx="129">
                  <c:v>-1.9793621510448731</c:v>
                </c:pt>
                <c:pt idx="130">
                  <c:v>-1.9935814077110665</c:v>
                </c:pt>
                <c:pt idx="131">
                  <c:v>-2.0077968443102057</c:v>
                </c:pt>
                <c:pt idx="132">
                  <c:v>-2.0220085041708615</c:v>
                </c:pt>
                <c:pt idx="133">
                  <c:v>-2.0362164298086678</c:v>
                </c:pt>
                <c:pt idx="134">
                  <c:v>-2.050420662947511</c:v>
                </c:pt>
                <c:pt idx="135">
                  <c:v>-2.0646212445400249</c:v>
                </c:pt>
                <c:pt idx="136">
                  <c:v>-2.078818214787399</c:v>
                </c:pt>
                <c:pt idx="137">
                  <c:v>-2.0930116131585459</c:v>
                </c:pt>
                <c:pt idx="138">
                  <c:v>-2.1072014784086361</c:v>
                </c:pt>
                <c:pt idx="139">
                  <c:v>-2.1213878485970405</c:v>
                </c:pt>
                <c:pt idx="140">
                  <c:v>-2.1355707611046961</c:v>
                </c:pt>
                <c:pt idx="141">
                  <c:v>-2.1497502526509145</c:v>
                </c:pt>
                <c:pt idx="142">
                  <c:v>-2.163926359309662</c:v>
                </c:pt>
                <c:pt idx="143">
                  <c:v>-2.1780991165253298</c:v>
                </c:pt>
                <c:pt idx="144">
                  <c:v>-2.1922685591280082</c:v>
                </c:pt>
                <c:pt idx="145">
                  <c:v>-2.2064347213482884</c:v>
                </c:pt>
                <c:pt idx="146">
                  <c:v>-2.2205976368316129</c:v>
                </c:pt>
                <c:pt idx="147">
                  <c:v>-2.2347573386521815</c:v>
                </c:pt>
                <c:pt idx="148">
                  <c:v>-2.2489138593264397</c:v>
                </c:pt>
                <c:pt idx="149">
                  <c:v>-2.2630672308261586</c:v>
                </c:pt>
                <c:pt idx="150">
                  <c:v>-2.2772174845911213</c:v>
                </c:pt>
                <c:pt idx="151">
                  <c:v>-2.2913646515414356</c:v>
                </c:pt>
                <c:pt idx="152">
                  <c:v>-2.3055087620894819</c:v>
                </c:pt>
                <c:pt idx="153">
                  <c:v>-2.3196498461515049</c:v>
                </c:pt>
                <c:pt idx="154">
                  <c:v>-2.3337879331588764</c:v>
                </c:pt>
                <c:pt idx="155">
                  <c:v>-2.3479230520690222</c:v>
                </c:pt>
                <c:pt idx="156">
                  <c:v>-2.3620552313760439</c:v>
                </c:pt>
                <c:pt idx="157">
                  <c:v>-2.3761844991210253</c:v>
                </c:pt>
                <c:pt idx="158">
                  <c:v>-2.3903108829020581</c:v>
                </c:pt>
                <c:pt idx="159">
                  <c:v>-2.4044344098839732</c:v>
                </c:pt>
                <c:pt idx="160">
                  <c:v>-2.4185551068078071</c:v>
                </c:pt>
                <c:pt idx="161">
                  <c:v>-2.4326730000000003</c:v>
                </c:pt>
                <c:pt idx="162">
                  <c:v>-2.4467881153813389</c:v>
                </c:pt>
                <c:pt idx="163">
                  <c:v>-2.460900478475653</c:v>
                </c:pt>
                <c:pt idx="164">
                  <c:v>-2.4750101144182763</c:v>
                </c:pt>
                <c:pt idx="165">
                  <c:v>-2.4891170479642755</c:v>
                </c:pt>
                <c:pt idx="166">
                  <c:v>-2.5032213034964532</c:v>
                </c:pt>
                <c:pt idx="167">
                  <c:v>-2.5173229050331387</c:v>
                </c:pt>
                <c:pt idx="168">
                  <c:v>-2.5314218762357741</c:v>
                </c:pt>
                <c:pt idx="169">
                  <c:v>-2.5455182404162899</c:v>
                </c:pt>
                <c:pt idx="170">
                  <c:v>-2.5596120205442929</c:v>
                </c:pt>
                <c:pt idx="171">
                  <c:v>-2.5737032392540611</c:v>
                </c:pt>
                <c:pt idx="172">
                  <c:v>-2.5877919188513605</c:v>
                </c:pt>
                <c:pt idx="173">
                  <c:v>-2.6018780813200779</c:v>
                </c:pt>
                <c:pt idx="174">
                  <c:v>-2.6159617483286901</c:v>
                </c:pt>
                <c:pt idx="175">
                  <c:v>-2.6300429412365585</c:v>
                </c:pt>
                <c:pt idx="176">
                  <c:v>-2.6441216811000738</c:v>
                </c:pt>
                <c:pt idx="177">
                  <c:v>-2.6581979886786344</c:v>
                </c:pt>
                <c:pt idx="178">
                  <c:v>-2.6722718844404776</c:v>
                </c:pt>
                <c:pt idx="179">
                  <c:v>-2.6863433885683667</c:v>
                </c:pt>
                <c:pt idx="180">
                  <c:v>-2.7004125209651355</c:v>
                </c:pt>
                <c:pt idx="181">
                  <c:v>-2.7144793012590909</c:v>
                </c:pt>
                <c:pt idx="182">
                  <c:v>-2.7285437488092859</c:v>
                </c:pt>
                <c:pt idx="183">
                  <c:v>-2.7426058827106643</c:v>
                </c:pt>
                <c:pt idx="184">
                  <c:v>-2.7566657217990764</c:v>
                </c:pt>
                <c:pt idx="185">
                  <c:v>-2.7707232846561718</c:v>
                </c:pt>
                <c:pt idx="186">
                  <c:v>-2.7847785896141821</c:v>
                </c:pt>
                <c:pt idx="187">
                  <c:v>-2.7988316547605785</c:v>
                </c:pt>
                <c:pt idx="188">
                  <c:v>-2.8128824979426224</c:v>
                </c:pt>
                <c:pt idx="189">
                  <c:v>-2.8269311367718108</c:v>
                </c:pt>
                <c:pt idx="190">
                  <c:v>-2.840977588628212</c:v>
                </c:pt>
                <c:pt idx="191">
                  <c:v>-2.8550218706647006</c:v>
                </c:pt>
                <c:pt idx="192">
                  <c:v>-2.8690639998110945</c:v>
                </c:pt>
                <c:pt idx="193">
                  <c:v>-2.8831039927781941</c:v>
                </c:pt>
                <c:pt idx="194">
                  <c:v>-2.8971418660617307</c:v>
                </c:pt>
                <c:pt idx="195">
                  <c:v>-2.9111776359462183</c:v>
                </c:pt>
                <c:pt idx="196">
                  <c:v>-2.9252113185087234</c:v>
                </c:pt>
                <c:pt idx="197">
                  <c:v>-2.9392429296225457</c:v>
                </c:pt>
                <c:pt idx="198">
                  <c:v>-2.953272484960813</c:v>
                </c:pt>
                <c:pt idx="199">
                  <c:v>-2.9673000000000007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4-5169-4604-BD43-F47A4CB4DF59}"/>
            </c:ext>
          </c:extLst>
        </c:ser>
        <c:ser>
          <c:idx val="3"/>
          <c:order val="3"/>
          <c:tx>
            <c:strRef>
              <c:f>Calculate!$E$1</c:f>
              <c:strCache>
                <c:ptCount val="1"/>
                <c:pt idx="0">
                  <c:v>IL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Calculate!$E$2:$E$201</c:f>
              <c:numCache>
                <c:formatCode>0.00E+00</c:formatCode>
                <c:ptCount val="200"/>
                <c:pt idx="0">
                  <c:v>-1.6447868570683462</c:v>
                </c:pt>
                <c:pt idx="1">
                  <c:v>-2.360552562503381</c:v>
                </c:pt>
                <c:pt idx="2">
                  <c:v>-2.9234713745604055</c:v>
                </c:pt>
                <c:pt idx="3">
                  <c:v>-3.4072708126354634</c:v>
                </c:pt>
                <c:pt idx="4">
                  <c:v>-3.8405086106511099</c:v>
                </c:pt>
                <c:pt idx="5">
                  <c:v>-4.2378309131857677</c:v>
                </c:pt>
                <c:pt idx="6">
                  <c:v>-4.6079382019252728</c:v>
                </c:pt>
                <c:pt idx="7">
                  <c:v>-4.9564993220043041</c:v>
                </c:pt>
                <c:pt idx="8">
                  <c:v>-5.2874518667013506</c:v>
                </c:pt>
                <c:pt idx="9">
                  <c:v>-5.603662773714996</c:v>
                </c:pt>
                <c:pt idx="10">
                  <c:v>-5.9072963494298989</c:v>
                </c:pt>
                <c:pt idx="11">
                  <c:v>-6.2000340446171247</c:v>
                </c:pt>
                <c:pt idx="12">
                  <c:v>-6.4832130288058645</c:v>
                </c:pt>
                <c:pt idx="13">
                  <c:v>-6.7579174739099761</c:v>
                </c:pt>
                <c:pt idx="14">
                  <c:v>-7.0250408930359889</c:v>
                </c:pt>
                <c:pt idx="15">
                  <c:v>-7.2853300192660111</c:v>
                </c:pt>
                <c:pt idx="16">
                  <c:v>-7.5394164960904622</c:v>
                </c:pt>
                <c:pt idx="17">
                  <c:v>-7.7878402785027694</c:v>
                </c:pt>
                <c:pt idx="18">
                  <c:v>-8.0310672502110751</c:v>
                </c:pt>
                <c:pt idx="19">
                  <c:v>-8.2695027137960739</c:v>
                </c:pt>
                <c:pt idx="20">
                  <c:v>-8.5035018773476576</c:v>
                </c:pt>
                <c:pt idx="21">
                  <c:v>-8.7333781165882343</c:v>
                </c:pt>
                <c:pt idx="22">
                  <c:v>-8.9594095634032698</c:v>
                </c:pt>
                <c:pt idx="23">
                  <c:v>-9.1818444173641609</c:v>
                </c:pt>
                <c:pt idx="24">
                  <c:v>-9.4009052703294405</c:v>
                </c:pt>
                <c:pt idx="25">
                  <c:v>-9.6167926594072224</c:v>
                </c:pt>
                <c:pt idx="26">
                  <c:v>-9.8296880101701554</c:v>
                </c:pt>
                <c:pt idx="27">
                  <c:v>-10.039756093341939</c:v>
                </c:pt>
                <c:pt idx="28">
                  <c:v>-10.247147089785292</c:v>
                </c:pt>
                <c:pt idx="29">
                  <c:v>-10.451998337521728</c:v>
                </c:pt>
                <c:pt idx="30">
                  <c:v>-10.654435818652308</c:v>
                </c:pt>
                <c:pt idx="31">
                  <c:v>-10.854575431998777</c:v>
                </c:pt>
                <c:pt idx="32">
                  <c:v>-11.052524088040251</c:v>
                </c:pt>
                <c:pt idx="33">
                  <c:v>-11.248380655563825</c:v>
                </c:pt>
                <c:pt idx="34">
                  <c:v>-11.44223678385946</c:v>
                </c:pt>
                <c:pt idx="35">
                  <c:v>-11.63417761989164</c:v>
                </c:pt>
                <c:pt idx="36">
                  <c:v>-11.824282436393002</c:v>
                </c:pt>
                <c:pt idx="37">
                  <c:v>-12.012625184040772</c:v>
                </c:pt>
                <c:pt idx="38">
                  <c:v>-12.199274978638783</c:v>
                </c:pt>
                <c:pt idx="39">
                  <c:v>-12.384296532417702</c:v>
                </c:pt>
                <c:pt idx="40">
                  <c:v>-12.567750537093628</c:v>
                </c:pt>
                <c:pt idx="41">
                  <c:v>-12.74969400512062</c:v>
                </c:pt>
                <c:pt idx="42">
                  <c:v>-12.930180574581952</c:v>
                </c:pt>
                <c:pt idx="43">
                  <c:v>-13.109260782346279</c:v>
                </c:pt>
                <c:pt idx="44">
                  <c:v>-13.286982309434892</c:v>
                </c:pt>
                <c:pt idx="45">
                  <c:v>-13.463390201979218</c:v>
                </c:pt>
                <c:pt idx="46">
                  <c:v>-13.638527070672421</c:v>
                </c:pt>
                <c:pt idx="47">
                  <c:v>-13.812433271219499</c:v>
                </c:pt>
                <c:pt idx="48">
                  <c:v>-13.985147067952616</c:v>
                </c:pt>
                <c:pt idx="49">
                  <c:v>-14.156704782492326</c:v>
                </c:pt>
                <c:pt idx="50">
                  <c:v>-14.327140929092124</c:v>
                </c:pt>
                <c:pt idx="51">
                  <c:v>-14.496488338095752</c:v>
                </c:pt>
                <c:pt idx="52">
                  <c:v>-14.664778268759056</c:v>
                </c:pt>
                <c:pt idx="53">
                  <c:v>-14.832040512535178</c:v>
                </c:pt>
                <c:pt idx="54">
                  <c:v>-14.998303487790231</c:v>
                </c:pt>
                <c:pt idx="55">
                  <c:v>-15.163594326802745</c:v>
                </c:pt>
                <c:pt idx="56">
                  <c:v>-15.327938955801581</c:v>
                </c:pt>
                <c:pt idx="57">
                  <c:v>-15.491362168711314</c:v>
                </c:pt>
                <c:pt idx="58">
                  <c:v>-15.653887695199288</c:v>
                </c:pt>
                <c:pt idx="59">
                  <c:v>-15.815538263553544</c:v>
                </c:pt>
                <c:pt idx="60">
                  <c:v>-15.976335658863499</c:v>
                </c:pt>
                <c:pt idx="61">
                  <c:v>-16.136300776925363</c:v>
                </c:pt>
                <c:pt idx="62">
                  <c:v>-16.295453674250005</c:v>
                </c:pt>
                <c:pt idx="63">
                  <c:v>-16.453813614512352</c:v>
                </c:pt>
                <c:pt idx="64">
                  <c:v>-16.611399111746962</c:v>
                </c:pt>
                <c:pt idx="65">
                  <c:v>-16.768227970564045</c:v>
                </c:pt>
                <c:pt idx="66">
                  <c:v>-16.92431732363346</c:v>
                </c:pt>
                <c:pt idx="67">
                  <c:v>-17.079683666660031</c:v>
                </c:pt>
                <c:pt idx="68">
                  <c:v>-17.234342891052489</c:v>
                </c:pt>
                <c:pt idx="69">
                  <c:v>-17.38831031446917</c:v>
                </c:pt>
                <c:pt idx="70">
                  <c:v>-17.541600709406801</c:v>
                </c:pt>
                <c:pt idx="71">
                  <c:v>-17.694228329983414</c:v>
                </c:pt>
                <c:pt idx="72">
                  <c:v>-17.846206937052884</c:v>
                </c:pt>
                <c:pt idx="73">
                  <c:v>-17.997549821776396</c:v>
                </c:pt>
                <c:pt idx="74">
                  <c:v>-18.148269827765159</c:v>
                </c:pt>
                <c:pt idx="75">
                  <c:v>-18.298379371898797</c:v>
                </c:pt>
                <c:pt idx="76">
                  <c:v>-18.447890463914987</c:v>
                </c:pt>
                <c:pt idx="77">
                  <c:v>-18.596814724857769</c:v>
                </c:pt>
                <c:pt idx="78">
                  <c:v>-18.745163404464869</c:v>
                </c:pt>
                <c:pt idx="79">
                  <c:v>-18.892947397567564</c:v>
                </c:pt>
                <c:pt idx="80">
                  <c:v>-19.040177259570868</c:v>
                </c:pt>
                <c:pt idx="81">
                  <c:v>-19.18686322107623</c:v>
                </c:pt>
                <c:pt idx="82">
                  <c:v>-19.333015201704136</c:v>
                </c:pt>
                <c:pt idx="83">
                  <c:v>-19.478642823169505</c:v>
                </c:pt>
                <c:pt idx="84">
                  <c:v>-19.623755421658522</c:v>
                </c:pt>
                <c:pt idx="85">
                  <c:v>-19.768362059552224</c:v>
                </c:pt>
                <c:pt idx="86">
                  <c:v>-19.912471536538227</c:v>
                </c:pt>
                <c:pt idx="87">
                  <c:v>-20.056092400149428</c:v>
                </c:pt>
                <c:pt idx="88">
                  <c:v>-20.199232955765162</c:v>
                </c:pt>
                <c:pt idx="89">
                  <c:v>-20.341901276108118</c:v>
                </c:pt>
                <c:pt idx="90">
                  <c:v>-20.484105210267689</c:v>
                </c:pt>
                <c:pt idx="91">
                  <c:v>-20.625852392278269</c:v>
                </c:pt>
                <c:pt idx="92">
                  <c:v>-20.767150249279045</c:v>
                </c:pt>
                <c:pt idx="93">
                  <c:v>-20.908006009280061</c:v>
                </c:pt>
                <c:pt idx="94">
                  <c:v>-21.048426708557365</c:v>
                </c:pt>
                <c:pt idx="95">
                  <c:v>-21.188419198698824</c:v>
                </c:pt>
                <c:pt idx="96">
                  <c:v>-21.327990153320474</c:v>
                </c:pt>
                <c:pt idx="97">
                  <c:v>-21.467146074472051</c:v>
                </c:pt>
                <c:pt idx="98">
                  <c:v>-21.605893298749137</c:v>
                </c:pt>
                <c:pt idx="99">
                  <c:v>-21.744238003128153</c:v>
                </c:pt>
                <c:pt idx="100">
                  <c:v>-21.88218621053942</c:v>
                </c:pt>
                <c:pt idx="101">
                  <c:v>-22.019743795192511</c:v>
                </c:pt>
                <c:pt idx="102">
                  <c:v>-22.156916487667186</c:v>
                </c:pt>
                <c:pt idx="103">
                  <c:v>-22.29370987978249</c:v>
                </c:pt>
                <c:pt idx="104">
                  <c:v>-22.430129429255643</c:v>
                </c:pt>
                <c:pt idx="105">
                  <c:v>-22.566180464161668</c:v>
                </c:pt>
                <c:pt idx="106">
                  <c:v>-22.701868187204219</c:v>
                </c:pt>
                <c:pt idx="107">
                  <c:v>-22.837197679807126</c:v>
                </c:pt>
                <c:pt idx="108">
                  <c:v>-22.972173906035895</c:v>
                </c:pt>
                <c:pt idx="109">
                  <c:v>-23.106801716357637</c:v>
                </c:pt>
                <c:pt idx="110">
                  <c:v>-23.241085851247544</c:v>
                </c:pt>
                <c:pt idx="111">
                  <c:v>-23.375030944649467</c:v>
                </c:pt>
                <c:pt idx="112">
                  <c:v>-23.508641527297751</c:v>
                </c:pt>
                <c:pt idx="113">
                  <c:v>-23.641922029907107</c:v>
                </c:pt>
                <c:pt idx="114">
                  <c:v>-23.774876786236735</c:v>
                </c:pt>
                <c:pt idx="115">
                  <c:v>-23.907510036034942</c:v>
                </c:pt>
                <c:pt idx="116">
                  <c:v>-24.039825927869661</c:v>
                </c:pt>
                <c:pt idx="117">
                  <c:v>-24.171828521850376</c:v>
                </c:pt>
                <c:pt idx="118">
                  <c:v>-24.303521792246432</c:v>
                </c:pt>
                <c:pt idx="119">
                  <c:v>-24.434909630006583</c:v>
                </c:pt>
                <c:pt idx="120">
                  <c:v>-24.565995845184208</c:v>
                </c:pt>
                <c:pt idx="121">
                  <c:v>-24.696784169272505</c:v>
                </c:pt>
                <c:pt idx="122">
                  <c:v>-24.82727825745377</c:v>
                </c:pt>
                <c:pt idx="123">
                  <c:v>-24.957481690766517</c:v>
                </c:pt>
                <c:pt idx="124">
                  <c:v>-25.087397978194097</c:v>
                </c:pt>
                <c:pt idx="125">
                  <c:v>-25.217030558678303</c:v>
                </c:pt>
                <c:pt idx="126">
                  <c:v>-25.346382803061196</c:v>
                </c:pt>
                <c:pt idx="127">
                  <c:v>-25.475458015958221</c:v>
                </c:pt>
                <c:pt idx="128">
                  <c:v>-25.604259437565645</c:v>
                </c:pt>
                <c:pt idx="129">
                  <c:v>-25.73279024540502</c:v>
                </c:pt>
                <c:pt idx="130">
                  <c:v>-25.861053556007434</c:v>
                </c:pt>
                <c:pt idx="131">
                  <c:v>-25.989052426539949</c:v>
                </c:pt>
                <c:pt idx="132">
                  <c:v>-26.116789856376712</c:v>
                </c:pt>
                <c:pt idx="133">
                  <c:v>-26.244268788617067</c:v>
                </c:pt>
                <c:pt idx="134">
                  <c:v>-26.371492111552655</c:v>
                </c:pt>
                <c:pt idx="135">
                  <c:v>-26.49846266008586</c:v>
                </c:pt>
                <c:pt idx="136">
                  <c:v>-26.625183217101231</c:v>
                </c:pt>
                <c:pt idx="137">
                  <c:v>-26.751656514792085</c:v>
                </c:pt>
                <c:pt idx="138">
                  <c:v>-26.87788523594384</c:v>
                </c:pt>
                <c:pt idx="139">
                  <c:v>-27.003872015175904</c:v>
                </c:pt>
                <c:pt idx="140">
                  <c:v>-27.129619440143731</c:v>
                </c:pt>
                <c:pt idx="141">
                  <c:v>-27.255130052702548</c:v>
                </c:pt>
                <c:pt idx="142">
                  <c:v>-27.38040635003426</c:v>
                </c:pt>
                <c:pt idx="143">
                  <c:v>-27.505450785739033</c:v>
                </c:pt>
                <c:pt idx="144">
                  <c:v>-27.630265770892713</c:v>
                </c:pt>
                <c:pt idx="145">
                  <c:v>-27.754853675071558</c:v>
                </c:pt>
                <c:pt idx="146">
                  <c:v>-27.87921682734541</c:v>
                </c:pt>
                <c:pt idx="147">
                  <c:v>-28.003357517240524</c:v>
                </c:pt>
                <c:pt idx="148">
                  <c:v>-28.127277995673175</c:v>
                </c:pt>
                <c:pt idx="149">
                  <c:v>-28.250980475855094</c:v>
                </c:pt>
                <c:pt idx="150">
                  <c:v>-28.374467134171809</c:v>
                </c:pt>
                <c:pt idx="151">
                  <c:v>-28.497740111034837</c:v>
                </c:pt>
                <c:pt idx="152">
                  <c:v>-28.620801511708706</c:v>
                </c:pt>
                <c:pt idx="153">
                  <c:v>-28.743653407113655</c:v>
                </c:pt>
                <c:pt idx="154">
                  <c:v>-28.866297834604957</c:v>
                </c:pt>
                <c:pt idx="155">
                  <c:v>-28.988736798729636</c:v>
                </c:pt>
                <c:pt idx="156">
                  <c:v>-29.110972271961383</c:v>
                </c:pt>
                <c:pt idx="157">
                  <c:v>-29.233006195414447</c:v>
                </c:pt>
                <c:pt idx="158">
                  <c:v>-29.354840479537224</c:v>
                </c:pt>
                <c:pt idx="159">
                  <c:v>-29.47647700478624</c:v>
                </c:pt>
                <c:pt idx="160">
                  <c:v>-29.597917622281244</c:v>
                </c:pt>
                <c:pt idx="161">
                  <c:v>-29.719164154441941</c:v>
                </c:pt>
                <c:pt idx="162">
                  <c:v>-29.840218395607156</c:v>
                </c:pt>
                <c:pt idx="163">
                  <c:v>-29.96108211263687</c:v>
                </c:pt>
                <c:pt idx="164">
                  <c:v>-30.08175704549776</c:v>
                </c:pt>
                <c:pt idx="165">
                  <c:v>-30.202244907832856</c:v>
                </c:pt>
                <c:pt idx="166">
                  <c:v>-30.322547387515698</c:v>
                </c:pt>
                <c:pt idx="167">
                  <c:v>-30.44266614718962</c:v>
                </c:pt>
                <c:pt idx="168">
                  <c:v>-30.562602824792627</c:v>
                </c:pt>
                <c:pt idx="169">
                  <c:v>-30.682359034068302</c:v>
                </c:pt>
                <c:pt idx="170">
                  <c:v>-30.80193636506317</c:v>
                </c:pt>
                <c:pt idx="171">
                  <c:v>-30.921336384611056</c:v>
                </c:pt>
                <c:pt idx="172">
                  <c:v>-31.040560636804756</c:v>
                </c:pt>
                <c:pt idx="173">
                  <c:v>-31.159610643455469</c:v>
                </c:pt>
                <c:pt idx="174">
                  <c:v>-31.278487904540327</c:v>
                </c:pt>
                <c:pt idx="175">
                  <c:v>-31.397193898638477</c:v>
                </c:pt>
                <c:pt idx="176">
                  <c:v>-31.515730083356026</c:v>
                </c:pt>
                <c:pt idx="177">
                  <c:v>-31.634097895740169</c:v>
                </c:pt>
                <c:pt idx="178">
                  <c:v>-31.752298752682883</c:v>
                </c:pt>
                <c:pt idx="179">
                  <c:v>-31.870334051314476</c:v>
                </c:pt>
                <c:pt idx="180">
                  <c:v>-31.988205169387328</c:v>
                </c:pt>
                <c:pt idx="181">
                  <c:v>-32.105913465650069</c:v>
                </c:pt>
                <c:pt idx="182">
                  <c:v>-32.223460280212564</c:v>
                </c:pt>
                <c:pt idx="183">
                  <c:v>-32.340846934901904</c:v>
                </c:pt>
                <c:pt idx="184">
                  <c:v>-32.458074733609699</c:v>
                </c:pt>
                <c:pt idx="185">
                  <c:v>-32.575144962630965</c:v>
                </c:pt>
                <c:pt idx="186">
                  <c:v>-32.692058890994794</c:v>
                </c:pt>
                <c:pt idx="187">
                  <c:v>-32.80881777078708</c:v>
                </c:pt>
                <c:pt idx="188">
                  <c:v>-32.925422837465547</c:v>
                </c:pt>
                <c:pt idx="189">
                  <c:v>-33.041875310167256</c:v>
                </c:pt>
                <c:pt idx="190">
                  <c:v>-33.158176392008919</c:v>
                </c:pt>
                <c:pt idx="191">
                  <c:v>-33.274327270380006</c:v>
                </c:pt>
                <c:pt idx="192">
                  <c:v>-33.390329117229108</c:v>
                </c:pt>
                <c:pt idx="193">
                  <c:v>-33.506183089343615</c:v>
                </c:pt>
                <c:pt idx="194">
                  <c:v>-33.621890328622854</c:v>
                </c:pt>
                <c:pt idx="195">
                  <c:v>-33.737451962345006</c:v>
                </c:pt>
                <c:pt idx="196">
                  <c:v>-33.852869103427842</c:v>
                </c:pt>
                <c:pt idx="197">
                  <c:v>-33.968142850683591</c:v>
                </c:pt>
                <c:pt idx="198">
                  <c:v>-34.083274289067873</c:v>
                </c:pt>
                <c:pt idx="199">
                  <c:v>-34.198264489923204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5-5169-4604-BD43-F47A4CB4DF59}"/>
            </c:ext>
          </c:extLst>
        </c:ser>
        <c:ser>
          <c:idx val="7"/>
          <c:order val="8"/>
          <c:tx>
            <c:strRef>
              <c:f>Calculate!$J$1</c:f>
              <c:strCache>
                <c:ptCount val="1"/>
                <c:pt idx="0">
                  <c:v>Echo_transfer_us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Calculate!$J$2:$J$201</c:f>
              <c:numCache>
                <c:formatCode>0.00</c:formatCode>
                <c:ptCount val="200"/>
                <c:pt idx="0">
                  <c:v>-24.255594168255566</c:v>
                </c:pt>
                <c:pt idx="1">
                  <c:v>-23.450022552161627</c:v>
                </c:pt>
                <c:pt idx="2">
                  <c:v>-22.770753307810992</c:v>
                </c:pt>
                <c:pt idx="3">
                  <c:v>-22.183497316077574</c:v>
                </c:pt>
                <c:pt idx="4">
                  <c:v>-21.666274463936823</c:v>
                </c:pt>
                <c:pt idx="5">
                  <c:v>-21.204146831993278</c:v>
                </c:pt>
                <c:pt idx="6">
                  <c:v>-20.786498569130391</c:v>
                </c:pt>
                <c:pt idx="7">
                  <c:v>-20.405514218225246</c:v>
                </c:pt>
                <c:pt idx="8">
                  <c:v>-20.055272868983213</c:v>
                </c:pt>
                <c:pt idx="9">
                  <c:v>-19.731181332890216</c:v>
                </c:pt>
                <c:pt idx="10">
                  <c:v>-19.429604628419273</c:v>
                </c:pt>
                <c:pt idx="11">
                  <c:v>-19.147616694428201</c:v>
                </c:pt>
                <c:pt idx="12">
                  <c:v>-18.882827244207171</c:v>
                </c:pt>
                <c:pt idx="13">
                  <c:v>-18.633258452455912</c:v>
                </c:pt>
                <c:pt idx="14">
                  <c:v>-18.397255197146119</c:v>
                </c:pt>
                <c:pt idx="15">
                  <c:v>-18.17341846269607</c:v>
                </c:pt>
                <c:pt idx="16">
                  <c:v>-17.960555083171215</c:v>
                </c:pt>
                <c:pt idx="17">
                  <c:v>-17.757639238742357</c:v>
                </c:pt>
                <c:pt idx="18">
                  <c:v>-17.563782553865018</c:v>
                </c:pt>
                <c:pt idx="19">
                  <c:v>-17.37821058951176</c:v>
                </c:pt>
                <c:pt idx="20">
                  <c:v>-17.20024415580292</c:v>
                </c:pt>
                <c:pt idx="21">
                  <c:v>-17.029284305478225</c:v>
                </c:pt>
                <c:pt idx="22">
                  <c:v>-16.864800171067834</c:v>
                </c:pt>
                <c:pt idx="23">
                  <c:v>-16.706319022658015</c:v>
                </c:pt>
                <c:pt idx="24">
                  <c:v>-16.553418076838852</c:v>
                </c:pt>
                <c:pt idx="25">
                  <c:v>-16.405717699260077</c:v>
                </c:pt>
                <c:pt idx="26">
                  <c:v>-16.262875725606733</c:v>
                </c:pt>
                <c:pt idx="27">
                  <c:v>-16.124582687188258</c:v>
                </c:pt>
                <c:pt idx="28">
                  <c:v>-15.990557773551057</c:v>
                </c:pt>
                <c:pt idx="29">
                  <c:v>-15.860545399664883</c:v>
                </c:pt>
                <c:pt idx="30">
                  <c:v>-15.734312272197039</c:v>
                </c:pt>
                <c:pt idx="31">
                  <c:v>-15.611644870255976</c:v>
                </c:pt>
                <c:pt idx="32">
                  <c:v>-15.492347272264437</c:v>
                </c:pt>
                <c:pt idx="33">
                  <c:v>-15.376239273418044</c:v>
                </c:pt>
                <c:pt idx="34">
                  <c:v>-15.263154748313458</c:v>
                </c:pt>
                <c:pt idx="35">
                  <c:v>-15.152940221401757</c:v>
                </c:pt>
                <c:pt idx="36">
                  <c:v>-15.045453614394923</c:v>
                </c:pt>
                <c:pt idx="37">
                  <c:v>-14.940563144974737</c:v>
                </c:pt>
                <c:pt idx="38">
                  <c:v>-14.838146355389183</c:v>
                </c:pt>
                <c:pt idx="39">
                  <c:v>-14.738089252976284</c:v>
                </c:pt>
                <c:pt idx="40">
                  <c:v>-14.640285547487544</c:v>
                </c:pt>
                <c:pt idx="41">
                  <c:v>-14.544635972415946</c:v>
                </c:pt>
                <c:pt idx="42">
                  <c:v>-14.451047679464386</c:v>
                </c:pt>
                <c:pt idx="43">
                  <c:v>-14.359433696894811</c:v>
                </c:pt>
                <c:pt idx="44">
                  <c:v>-14.269712443838099</c:v>
                </c:pt>
                <c:pt idx="45">
                  <c:v>-14.181807293766887</c:v>
                </c:pt>
                <c:pt idx="46">
                  <c:v>-14.095646181277996</c:v>
                </c:pt>
                <c:pt idx="47">
                  <c:v>-14.011161247128303</c:v>
                </c:pt>
                <c:pt idx="48">
                  <c:v>-13.928288517143477</c:v>
                </c:pt>
                <c:pt idx="49">
                  <c:v>-13.846967611193268</c:v>
                </c:pt>
                <c:pt idx="50">
                  <c:v>-13.767141478916884</c:v>
                </c:pt>
                <c:pt idx="51">
                  <c:v>-13.688756159301114</c:v>
                </c:pt>
                <c:pt idx="52">
                  <c:v>-13.611760561573474</c:v>
                </c:pt>
                <c:pt idx="53">
                  <c:v>-13.536106265182132</c:v>
                </c:pt>
                <c:pt idx="54">
                  <c:v>-13.461747336901572</c:v>
                </c:pt>
                <c:pt idx="55">
                  <c:v>-13.388640163333953</c:v>
                </c:pt>
                <c:pt idx="56">
                  <c:v>-13.316743297276709</c:v>
                </c:pt>
                <c:pt idx="57">
                  <c:v>-13.246017316601362</c:v>
                </c:pt>
                <c:pt idx="58">
                  <c:v>-13.176424694440405</c:v>
                </c:pt>
                <c:pt idx="59">
                  <c:v>-13.10792967961209</c:v>
                </c:pt>
                <c:pt idx="60">
                  <c:v>-13.040498186329222</c:v>
                </c:pt>
                <c:pt idx="61">
                  <c:v>-12.974097692340184</c:v>
                </c:pt>
                <c:pt idx="62">
                  <c:v>-12.908697144740195</c:v>
                </c:pt>
                <c:pt idx="63">
                  <c:v>-12.844266872769994</c:v>
                </c:pt>
                <c:pt idx="64">
                  <c:v>-12.78077850698898</c:v>
                </c:pt>
                <c:pt idx="65">
                  <c:v>-12.71820490427169</c:v>
                </c:pt>
                <c:pt idx="66">
                  <c:v>-12.656520078131264</c:v>
                </c:pt>
                <c:pt idx="67">
                  <c:v>-12.595699133922317</c:v>
                </c:pt>
                <c:pt idx="68">
                  <c:v>-12.535718208518743</c:v>
                </c:pt>
                <c:pt idx="69">
                  <c:v>-12.476554414100704</c:v>
                </c:pt>
                <c:pt idx="70">
                  <c:v>-12.4181857857194</c:v>
                </c:pt>
                <c:pt idx="71">
                  <c:v>-12.360591232338951</c:v>
                </c:pt>
                <c:pt idx="72">
                  <c:v>-12.303750491082431</c:v>
                </c:pt>
                <c:pt idx="73">
                  <c:v>-12.247644084433487</c:v>
                </c:pt>
                <c:pt idx="74">
                  <c:v>-12.192253280167542</c:v>
                </c:pt>
                <c:pt idx="75">
                  <c:v>-12.137560053806144</c:v>
                </c:pt>
                <c:pt idx="76">
                  <c:v>-12.083547053406292</c:v>
                </c:pt>
                <c:pt idx="77">
                  <c:v>-12.030197566512541</c:v>
                </c:pt>
                <c:pt idx="78">
                  <c:v>-11.97749548911446</c:v>
                </c:pt>
                <c:pt idx="79">
                  <c:v>-11.925425296465097</c:v>
                </c:pt>
                <c:pt idx="80">
                  <c:v>-11.873972015628262</c:v>
                </c:pt>
                <c:pt idx="81">
                  <c:v>-11.823121199633064</c:v>
                </c:pt>
                <c:pt idx="82">
                  <c:v>-11.77285890312411</c:v>
                </c:pt>
                <c:pt idx="83">
                  <c:v>-11.723171659404736</c:v>
                </c:pt>
                <c:pt idx="84">
                  <c:v>-11.67404645877868</c:v>
                </c:pt>
                <c:pt idx="85">
                  <c:v>-11.625470728103032</c:v>
                </c:pt>
                <c:pt idx="86">
                  <c:v>-11.577432311472126</c:v>
                </c:pt>
                <c:pt idx="87">
                  <c:v>-11.529919451958095</c:v>
                </c:pt>
                <c:pt idx="88">
                  <c:v>-11.482920774339444</c:v>
                </c:pt>
                <c:pt idx="89">
                  <c:v>-11.436425268754281</c:v>
                </c:pt>
                <c:pt idx="90">
                  <c:v>-11.390422275219274</c:v>
                </c:pt>
                <c:pt idx="91">
                  <c:v>-11.344901468960044</c:v>
                </c:pt>
                <c:pt idx="92">
                  <c:v>-11.29985284650239</c:v>
                </c:pt>
                <c:pt idx="93">
                  <c:v>-11.255266712477487</c:v>
                </c:pt>
                <c:pt idx="94">
                  <c:v>-11.211133667097608</c:v>
                </c:pt>
                <c:pt idx="95">
                  <c:v>-11.167444594261742</c:v>
                </c:pt>
                <c:pt idx="96">
                  <c:v>-11.124190650253622</c:v>
                </c:pt>
                <c:pt idx="97">
                  <c:v>-11.081363252997026</c:v>
                </c:pt>
                <c:pt idx="98">
                  <c:v>-11.038954071835684</c:v>
                </c:pt>
                <c:pt idx="99">
                  <c:v>-10.996955017807421</c:v>
                </c:pt>
                <c:pt idx="100">
                  <c:v>-10.95535823438405</c:v>
                </c:pt>
                <c:pt idx="101">
                  <c:v>-10.914156088650577</c:v>
                </c:pt>
                <c:pt idx="102">
                  <c:v>-10.873341162898885</c:v>
                </c:pt>
                <c:pt idx="103">
                  <c:v>-10.832906246612794</c:v>
                </c:pt>
                <c:pt idx="104">
                  <c:v>-10.792844328822754</c:v>
                </c:pt>
                <c:pt idx="105">
                  <c:v>-10.753148590810031</c:v>
                </c:pt>
                <c:pt idx="106">
                  <c:v>-10.71381239914124</c:v>
                </c:pt>
                <c:pt idx="107">
                  <c:v>-10.674829299015549</c:v>
                </c:pt>
                <c:pt idx="108">
                  <c:v>-10.636193007907799</c:v>
                </c:pt>
                <c:pt idx="109">
                  <c:v>-10.597897409491928</c:v>
                </c:pt>
                <c:pt idx="110">
                  <c:v>-10.559936547829942</c:v>
                </c:pt>
                <c:pt idx="111">
                  <c:v>-10.522304621812683</c:v>
                </c:pt>
                <c:pt idx="112">
                  <c:v>-10.4849959798394</c:v>
                </c:pt>
                <c:pt idx="113">
                  <c:v>-10.448005114723864</c:v>
                </c:pt>
                <c:pt idx="114">
                  <c:v>-10.41132665881565</c:v>
                </c:pt>
                <c:pt idx="115">
                  <c:v>-10.37495537932568</c:v>
                </c:pt>
                <c:pt idx="116">
                  <c:v>-10.338886173845889</c:v>
                </c:pt>
                <c:pt idx="117">
                  <c:v>-10.303114066053427</c:v>
                </c:pt>
                <c:pt idx="118">
                  <c:v>-10.267634201590329</c:v>
                </c:pt>
                <c:pt idx="119">
                  <c:v>-10.232441844110129</c:v>
                </c:pt>
                <c:pt idx="120">
                  <c:v>-10.197532371483394</c:v>
                </c:pt>
                <c:pt idx="121">
                  <c:v>-10.162901272154503</c:v>
                </c:pt>
                <c:pt idx="122">
                  <c:v>-10.128544141642593</c:v>
                </c:pt>
                <c:pt idx="123">
                  <c:v>-10.094456679179775</c:v>
                </c:pt>
                <c:pt idx="124">
                  <c:v>-10.060634684480307</c:v>
                </c:pt>
                <c:pt idx="125">
                  <c:v>-10.027074054634559</c:v>
                </c:pt>
                <c:pt idx="126">
                  <c:v>-9.9937707811221035</c:v>
                </c:pt>
                <c:pt idx="127">
                  <c:v>-9.9607209469384426</c:v>
                </c:pt>
                <c:pt idx="128">
                  <c:v>-9.9279207238302565</c:v>
                </c:pt>
                <c:pt idx="129">
                  <c:v>-9.8953663696342673</c:v>
                </c:pt>
                <c:pt idx="130">
                  <c:v>-9.8630542257150804</c:v>
                </c:pt>
                <c:pt idx="131">
                  <c:v>-9.8309807144976773</c:v>
                </c:pt>
                <c:pt idx="132">
                  <c:v>-9.799142337090343</c:v>
                </c:pt>
                <c:pt idx="133">
                  <c:v>-9.7675356709940768</c:v>
                </c:pt>
                <c:pt idx="134">
                  <c:v>-9.7361573678947675</c:v>
                </c:pt>
                <c:pt idx="135">
                  <c:v>-9.7050041515345633</c:v>
                </c:pt>
                <c:pt idx="136">
                  <c:v>-9.6740728156590468</c:v>
                </c:pt>
                <c:pt idx="137">
                  <c:v>-9.6433602220369625</c:v>
                </c:pt>
                <c:pt idx="138">
                  <c:v>-9.6128632985495273</c:v>
                </c:pt>
                <c:pt idx="139">
                  <c:v>-9.5825790373463313</c:v>
                </c:pt>
                <c:pt idx="140">
                  <c:v>-9.5525044930650846</c:v>
                </c:pt>
                <c:pt idx="141">
                  <c:v>-9.5226367811126096</c:v>
                </c:pt>
                <c:pt idx="142">
                  <c:v>-9.4929730760045103</c:v>
                </c:pt>
                <c:pt idx="143">
                  <c:v>-9.4635106097611796</c:v>
                </c:pt>
                <c:pt idx="144">
                  <c:v>-9.4342466703578438</c:v>
                </c:pt>
                <c:pt idx="145">
                  <c:v>-9.4051786002264866</c:v>
                </c:pt>
                <c:pt idx="146">
                  <c:v>-9.3763037948075549</c:v>
                </c:pt>
                <c:pt idx="147">
                  <c:v>-9.3476197011495152</c:v>
                </c:pt>
                <c:pt idx="148">
                  <c:v>-9.31912381655434</c:v>
                </c:pt>
                <c:pt idx="149">
                  <c:v>-9.290813687267157</c:v>
                </c:pt>
                <c:pt idx="150">
                  <c:v>-9.2626869072083142</c:v>
                </c:pt>
                <c:pt idx="151">
                  <c:v>-9.234741116746255</c:v>
                </c:pt>
                <c:pt idx="152">
                  <c:v>-9.2069740015096144</c:v>
                </c:pt>
                <c:pt idx="153">
                  <c:v>-9.179383291237059</c:v>
                </c:pt>
                <c:pt idx="154">
                  <c:v>-9.1519667586634057</c:v>
                </c:pt>
                <c:pt idx="155">
                  <c:v>-9.1247222184407271</c:v>
                </c:pt>
                <c:pt idx="156">
                  <c:v>-9.0976475260930361</c:v>
                </c:pt>
                <c:pt idx="157">
                  <c:v>-9.0707405770033827</c:v>
                </c:pt>
                <c:pt idx="158">
                  <c:v>-9.0439993054321324</c:v>
                </c:pt>
                <c:pt idx="159">
                  <c:v>-9.0174216835652672</c:v>
                </c:pt>
                <c:pt idx="160">
                  <c:v>-8.9910057205916676</c:v>
                </c:pt>
                <c:pt idx="161">
                  <c:v>-8.9647494618082426</c:v>
                </c:pt>
                <c:pt idx="162">
                  <c:v>-8.9386509877519735</c:v>
                </c:pt>
                <c:pt idx="163">
                  <c:v>-8.9127084133578887</c:v>
                </c:pt>
                <c:pt idx="164">
                  <c:v>-8.8869198871420068</c:v>
                </c:pt>
                <c:pt idx="165">
                  <c:v>-8.8612835904084442</c:v>
                </c:pt>
                <c:pt idx="166">
                  <c:v>-8.8357977364797389</c:v>
                </c:pt>
                <c:pt idx="167">
                  <c:v>-8.8104605699496474</c:v>
                </c:pt>
                <c:pt idx="168">
                  <c:v>-8.7852703659576239</c:v>
                </c:pt>
                <c:pt idx="169">
                  <c:v>-8.7602254294842012</c:v>
                </c:pt>
                <c:pt idx="170">
                  <c:v>-8.7353240946665771</c:v>
                </c:pt>
                <c:pt idx="171">
                  <c:v>-8.7105647241337163</c:v>
                </c:pt>
                <c:pt idx="172">
                  <c:v>-8.6859457083602862</c:v>
                </c:pt>
                <c:pt idx="173">
                  <c:v>-8.6614654650388196</c:v>
                </c:pt>
                <c:pt idx="174">
                  <c:v>-8.6371224384694543</c:v>
                </c:pt>
                <c:pt idx="175">
                  <c:v>-8.6129150989666989</c:v>
                </c:pt>
                <c:pt idx="176">
                  <c:v>-8.5888419422826168</c:v>
                </c:pt>
                <c:pt idx="177">
                  <c:v>-8.5649014890459387</c:v>
                </c:pt>
                <c:pt idx="178">
                  <c:v>-8.5410922842165196</c:v>
                </c:pt>
                <c:pt idx="179">
                  <c:v>-8.5174128965547009</c:v>
                </c:pt>
                <c:pt idx="180">
                  <c:v>-8.4938619181050257</c:v>
                </c:pt>
                <c:pt idx="181">
                  <c:v>-8.4704379636939073</c:v>
                </c:pt>
                <c:pt idx="182">
                  <c:v>-8.4471396704407447</c:v>
                </c:pt>
                <c:pt idx="183">
                  <c:v>-8.4239656972821138</c:v>
                </c:pt>
                <c:pt idx="184">
                  <c:v>-8.4009147245085565</c:v>
                </c:pt>
                <c:pt idx="185">
                  <c:v>-8.3779854533136078</c:v>
                </c:pt>
                <c:pt idx="186">
                  <c:v>-8.3551766053546803</c:v>
                </c:pt>
                <c:pt idx="187">
                  <c:v>-8.3324869223253977</c:v>
                </c:pt>
                <c:pt idx="188">
                  <c:v>-8.3099151655390493</c:v>
                </c:pt>
                <c:pt idx="189">
                  <c:v>-8.2874601155228138</c:v>
                </c:pt>
                <c:pt idx="190">
                  <c:v>-8.2651205716224379</c:v>
                </c:pt>
                <c:pt idx="191">
                  <c:v>-8.2428953516169887</c:v>
                </c:pt>
                <c:pt idx="192">
                  <c:v>-8.2207832913434551</c:v>
                </c:pt>
                <c:pt idx="193">
                  <c:v>-8.1987832443308335</c:v>
                </c:pt>
                <c:pt idx="194">
                  <c:v>-8.1768940814434448</c:v>
                </c:pt>
                <c:pt idx="195">
                  <c:v>-8.1551146905331908</c:v>
                </c:pt>
                <c:pt idx="196">
                  <c:v>-8.1334439761004909</c:v>
                </c:pt>
                <c:pt idx="197">
                  <c:v>-8.111880858963632</c:v>
                </c:pt>
                <c:pt idx="198">
                  <c:v>-8.090424275936293</c:v>
                </c:pt>
                <c:pt idx="199">
                  <c:v>-8.0690731795129658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A-5169-4604-BD43-F47A4CB4DF59}"/>
            </c:ext>
          </c:extLst>
        </c:ser>
        <c:ser>
          <c:idx val="8"/>
          <c:order val="9"/>
          <c:tx>
            <c:strRef>
              <c:f>Calculate!$K$1</c:f>
              <c:strCache>
                <c:ptCount val="1"/>
                <c:pt idx="0">
                  <c:v>Echo_transfer_ds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Calculate!$K$2:$K$201</c:f>
              <c:numCache>
                <c:formatCode>0.00</c:formatCode>
                <c:ptCount val="200"/>
                <c:pt idx="0">
                  <c:v>-24.255594168255566</c:v>
                </c:pt>
                <c:pt idx="1">
                  <c:v>-23.450022552161627</c:v>
                </c:pt>
                <c:pt idx="2">
                  <c:v>-22.770753307810992</c:v>
                </c:pt>
                <c:pt idx="3">
                  <c:v>-22.183497316077574</c:v>
                </c:pt>
                <c:pt idx="4">
                  <c:v>-21.666274463936823</c:v>
                </c:pt>
                <c:pt idx="5">
                  <c:v>-21.204146831993278</c:v>
                </c:pt>
                <c:pt idx="6">
                  <c:v>-20.786498569130391</c:v>
                </c:pt>
                <c:pt idx="7">
                  <c:v>-20.405514218225246</c:v>
                </c:pt>
                <c:pt idx="8">
                  <c:v>-20.055272868983213</c:v>
                </c:pt>
                <c:pt idx="9">
                  <c:v>-19.731181332890216</c:v>
                </c:pt>
                <c:pt idx="10">
                  <c:v>-19.429604628419273</c:v>
                </c:pt>
                <c:pt idx="11">
                  <c:v>-19.147616694428201</c:v>
                </c:pt>
                <c:pt idx="12">
                  <c:v>-18.882827244207171</c:v>
                </c:pt>
                <c:pt idx="13">
                  <c:v>-18.633258452455912</c:v>
                </c:pt>
                <c:pt idx="14">
                  <c:v>-18.397255197146119</c:v>
                </c:pt>
                <c:pt idx="15">
                  <c:v>-18.17341846269607</c:v>
                </c:pt>
                <c:pt idx="16">
                  <c:v>-17.960555083171215</c:v>
                </c:pt>
                <c:pt idx="17">
                  <c:v>-17.757639238742357</c:v>
                </c:pt>
                <c:pt idx="18">
                  <c:v>-17.563782553865018</c:v>
                </c:pt>
                <c:pt idx="19">
                  <c:v>-17.37821058951176</c:v>
                </c:pt>
                <c:pt idx="20">
                  <c:v>-17.20024415580292</c:v>
                </c:pt>
                <c:pt idx="21">
                  <c:v>-17.029284305478225</c:v>
                </c:pt>
                <c:pt idx="22">
                  <c:v>-16.864800171067834</c:v>
                </c:pt>
                <c:pt idx="23">
                  <c:v>-16.706319022658015</c:v>
                </c:pt>
                <c:pt idx="24">
                  <c:v>-16.553418076838852</c:v>
                </c:pt>
                <c:pt idx="25">
                  <c:v>-16.405717699260077</c:v>
                </c:pt>
                <c:pt idx="26">
                  <c:v>-16.262875725606733</c:v>
                </c:pt>
                <c:pt idx="27">
                  <c:v>-16.124582687188258</c:v>
                </c:pt>
                <c:pt idx="28">
                  <c:v>-15.990557773551057</c:v>
                </c:pt>
                <c:pt idx="29">
                  <c:v>-15.860545399664883</c:v>
                </c:pt>
                <c:pt idx="30">
                  <c:v>-15.734312272197039</c:v>
                </c:pt>
                <c:pt idx="31">
                  <c:v>-15.611644870255976</c:v>
                </c:pt>
                <c:pt idx="32">
                  <c:v>-15.492347272264437</c:v>
                </c:pt>
                <c:pt idx="33">
                  <c:v>-15.376239273418044</c:v>
                </c:pt>
                <c:pt idx="34">
                  <c:v>-15.263154748313458</c:v>
                </c:pt>
                <c:pt idx="35">
                  <c:v>-15.152940221401757</c:v>
                </c:pt>
                <c:pt idx="36">
                  <c:v>-15.045453614394923</c:v>
                </c:pt>
                <c:pt idx="37">
                  <c:v>-14.940563144974737</c:v>
                </c:pt>
                <c:pt idx="38">
                  <c:v>-14.838146355389183</c:v>
                </c:pt>
                <c:pt idx="39">
                  <c:v>-14.738089252976284</c:v>
                </c:pt>
                <c:pt idx="40">
                  <c:v>-14.640285547487544</c:v>
                </c:pt>
                <c:pt idx="41">
                  <c:v>-14.544635972415946</c:v>
                </c:pt>
                <c:pt idx="42">
                  <c:v>-14.451047679464386</c:v>
                </c:pt>
                <c:pt idx="43">
                  <c:v>-14.359433696894811</c:v>
                </c:pt>
                <c:pt idx="44">
                  <c:v>-14.269712443838099</c:v>
                </c:pt>
                <c:pt idx="45">
                  <c:v>-14.181807293766887</c:v>
                </c:pt>
                <c:pt idx="46">
                  <c:v>-14.095646181277996</c:v>
                </c:pt>
                <c:pt idx="47">
                  <c:v>-14.011161247128303</c:v>
                </c:pt>
                <c:pt idx="48">
                  <c:v>-13.928288517143477</c:v>
                </c:pt>
                <c:pt idx="49">
                  <c:v>-13.846967611193268</c:v>
                </c:pt>
                <c:pt idx="50">
                  <c:v>-13.767141478916884</c:v>
                </c:pt>
                <c:pt idx="51">
                  <c:v>-13.688756159301114</c:v>
                </c:pt>
                <c:pt idx="52">
                  <c:v>-13.611760561573474</c:v>
                </c:pt>
                <c:pt idx="53">
                  <c:v>-13.536106265182132</c:v>
                </c:pt>
                <c:pt idx="54">
                  <c:v>-13.461747336901572</c:v>
                </c:pt>
                <c:pt idx="55">
                  <c:v>-13.388640163333953</c:v>
                </c:pt>
                <c:pt idx="56">
                  <c:v>-13.316743297276709</c:v>
                </c:pt>
                <c:pt idx="57">
                  <c:v>-13.246017316601362</c:v>
                </c:pt>
                <c:pt idx="58">
                  <c:v>-13.176424694440405</c:v>
                </c:pt>
                <c:pt idx="59">
                  <c:v>-13.10792967961209</c:v>
                </c:pt>
                <c:pt idx="60">
                  <c:v>-13.040498186329222</c:v>
                </c:pt>
                <c:pt idx="61">
                  <c:v>-12.974097692340184</c:v>
                </c:pt>
                <c:pt idx="62">
                  <c:v>-12.908697144740195</c:v>
                </c:pt>
                <c:pt idx="63">
                  <c:v>-12.844266872769994</c:v>
                </c:pt>
                <c:pt idx="64">
                  <c:v>-12.78077850698898</c:v>
                </c:pt>
                <c:pt idx="65">
                  <c:v>-12.71820490427169</c:v>
                </c:pt>
                <c:pt idx="66">
                  <c:v>-12.656520078131264</c:v>
                </c:pt>
                <c:pt idx="67">
                  <c:v>-12.595699133922317</c:v>
                </c:pt>
                <c:pt idx="68">
                  <c:v>-12.535718208518743</c:v>
                </c:pt>
                <c:pt idx="69">
                  <c:v>-12.476554414100704</c:v>
                </c:pt>
                <c:pt idx="70">
                  <c:v>-12.4181857857194</c:v>
                </c:pt>
                <c:pt idx="71">
                  <c:v>-12.360591232338951</c:v>
                </c:pt>
                <c:pt idx="72">
                  <c:v>-12.303750491082431</c:v>
                </c:pt>
                <c:pt idx="73">
                  <c:v>-12.247644084433487</c:v>
                </c:pt>
                <c:pt idx="74">
                  <c:v>-12.192253280167542</c:v>
                </c:pt>
                <c:pt idx="75">
                  <c:v>-12.137560053806144</c:v>
                </c:pt>
                <c:pt idx="76">
                  <c:v>-12.083547053406292</c:v>
                </c:pt>
                <c:pt idx="77">
                  <c:v>-12.030197566512541</c:v>
                </c:pt>
                <c:pt idx="78">
                  <c:v>-11.97749548911446</c:v>
                </c:pt>
                <c:pt idx="79">
                  <c:v>-11.925425296465097</c:v>
                </c:pt>
                <c:pt idx="80">
                  <c:v>-11.873972015628262</c:v>
                </c:pt>
                <c:pt idx="81">
                  <c:v>-11.823121199633064</c:v>
                </c:pt>
                <c:pt idx="82">
                  <c:v>-11.77285890312411</c:v>
                </c:pt>
                <c:pt idx="83">
                  <c:v>-11.723171659404736</c:v>
                </c:pt>
                <c:pt idx="84">
                  <c:v>-11.67404645877868</c:v>
                </c:pt>
                <c:pt idx="85">
                  <c:v>-11.625470728103032</c:v>
                </c:pt>
                <c:pt idx="86">
                  <c:v>-11.577432311472126</c:v>
                </c:pt>
                <c:pt idx="87">
                  <c:v>-11.529919451958095</c:v>
                </c:pt>
                <c:pt idx="88">
                  <c:v>-11.482920774339444</c:v>
                </c:pt>
                <c:pt idx="89">
                  <c:v>-11.436425268754281</c:v>
                </c:pt>
                <c:pt idx="90">
                  <c:v>-11.390422275219274</c:v>
                </c:pt>
                <c:pt idx="91">
                  <c:v>-11.344901468960044</c:v>
                </c:pt>
                <c:pt idx="92">
                  <c:v>-11.29985284650239</c:v>
                </c:pt>
                <c:pt idx="93">
                  <c:v>-11.255266712477487</c:v>
                </c:pt>
                <c:pt idx="94">
                  <c:v>-11.211133667097608</c:v>
                </c:pt>
                <c:pt idx="95">
                  <c:v>-11.167444594261742</c:v>
                </c:pt>
                <c:pt idx="96">
                  <c:v>-11.124190650253622</c:v>
                </c:pt>
                <c:pt idx="97">
                  <c:v>-11.081363252997026</c:v>
                </c:pt>
                <c:pt idx="98">
                  <c:v>-11.038954071835684</c:v>
                </c:pt>
                <c:pt idx="99">
                  <c:v>-10.996955017807421</c:v>
                </c:pt>
                <c:pt idx="100">
                  <c:v>-10.95535823438405</c:v>
                </c:pt>
                <c:pt idx="101">
                  <c:v>-10.914156088650577</c:v>
                </c:pt>
                <c:pt idx="102">
                  <c:v>-10.873341162898885</c:v>
                </c:pt>
                <c:pt idx="103">
                  <c:v>-10.832906246612794</c:v>
                </c:pt>
                <c:pt idx="104">
                  <c:v>-10.792844328822754</c:v>
                </c:pt>
                <c:pt idx="105">
                  <c:v>-10.753148590810031</c:v>
                </c:pt>
                <c:pt idx="106">
                  <c:v>-10.71381239914124</c:v>
                </c:pt>
                <c:pt idx="107">
                  <c:v>-10.674829299015549</c:v>
                </c:pt>
                <c:pt idx="108">
                  <c:v>-10.636193007907799</c:v>
                </c:pt>
                <c:pt idx="109">
                  <c:v>-10.597897409491928</c:v>
                </c:pt>
                <c:pt idx="110">
                  <c:v>-10.559936547829942</c:v>
                </c:pt>
                <c:pt idx="111">
                  <c:v>-10.522304621812683</c:v>
                </c:pt>
                <c:pt idx="112">
                  <c:v>-10.4849959798394</c:v>
                </c:pt>
                <c:pt idx="113">
                  <c:v>-10.448005114723864</c:v>
                </c:pt>
                <c:pt idx="114">
                  <c:v>-10.41132665881565</c:v>
                </c:pt>
                <c:pt idx="115">
                  <c:v>-10.37495537932568</c:v>
                </c:pt>
                <c:pt idx="116">
                  <c:v>-10.338886173845889</c:v>
                </c:pt>
                <c:pt idx="117">
                  <c:v>-10.303114066053427</c:v>
                </c:pt>
                <c:pt idx="118">
                  <c:v>-10.267634201590329</c:v>
                </c:pt>
                <c:pt idx="119">
                  <c:v>-10.232441844110129</c:v>
                </c:pt>
                <c:pt idx="120">
                  <c:v>-10.197532371483394</c:v>
                </c:pt>
                <c:pt idx="121">
                  <c:v>-10.162901272154503</c:v>
                </c:pt>
                <c:pt idx="122">
                  <c:v>-10.128544141642593</c:v>
                </c:pt>
                <c:pt idx="123">
                  <c:v>-10.094456679179775</c:v>
                </c:pt>
                <c:pt idx="124">
                  <c:v>-10.060634684480307</c:v>
                </c:pt>
                <c:pt idx="125">
                  <c:v>-10.027074054634559</c:v>
                </c:pt>
                <c:pt idx="126">
                  <c:v>-9.9937707811221035</c:v>
                </c:pt>
                <c:pt idx="127">
                  <c:v>-9.9607209469384426</c:v>
                </c:pt>
                <c:pt idx="128">
                  <c:v>-9.9279207238302565</c:v>
                </c:pt>
                <c:pt idx="129">
                  <c:v>-9.8953663696342673</c:v>
                </c:pt>
                <c:pt idx="130">
                  <c:v>-9.8630542257150804</c:v>
                </c:pt>
                <c:pt idx="131">
                  <c:v>-9.8309807144976773</c:v>
                </c:pt>
                <c:pt idx="132">
                  <c:v>-9.799142337090343</c:v>
                </c:pt>
                <c:pt idx="133">
                  <c:v>-9.7675356709940768</c:v>
                </c:pt>
                <c:pt idx="134">
                  <c:v>-9.7361573678947675</c:v>
                </c:pt>
                <c:pt idx="135">
                  <c:v>-9.7050041515345633</c:v>
                </c:pt>
                <c:pt idx="136">
                  <c:v>-9.6740728156590468</c:v>
                </c:pt>
                <c:pt idx="137">
                  <c:v>-9.6433602220369625</c:v>
                </c:pt>
                <c:pt idx="138">
                  <c:v>-9.6128632985495273</c:v>
                </c:pt>
                <c:pt idx="139">
                  <c:v>-9.5825790373463313</c:v>
                </c:pt>
                <c:pt idx="140">
                  <c:v>-9.5525044930650846</c:v>
                </c:pt>
                <c:pt idx="141">
                  <c:v>-9.5226367811126096</c:v>
                </c:pt>
                <c:pt idx="142">
                  <c:v>-9.4929730760045103</c:v>
                </c:pt>
                <c:pt idx="143">
                  <c:v>-9.4635106097611796</c:v>
                </c:pt>
                <c:pt idx="144">
                  <c:v>-9.4342466703578438</c:v>
                </c:pt>
                <c:pt idx="145">
                  <c:v>-9.4051786002264866</c:v>
                </c:pt>
                <c:pt idx="146">
                  <c:v>-9.3763037948075549</c:v>
                </c:pt>
                <c:pt idx="147">
                  <c:v>-9.3476197011495152</c:v>
                </c:pt>
                <c:pt idx="148">
                  <c:v>-9.31912381655434</c:v>
                </c:pt>
                <c:pt idx="149">
                  <c:v>-9.290813687267157</c:v>
                </c:pt>
                <c:pt idx="150">
                  <c:v>-9.2626869072083142</c:v>
                </c:pt>
                <c:pt idx="151">
                  <c:v>-9.234741116746255</c:v>
                </c:pt>
                <c:pt idx="152">
                  <c:v>-9.2069740015096144</c:v>
                </c:pt>
                <c:pt idx="153">
                  <c:v>-9.179383291237059</c:v>
                </c:pt>
                <c:pt idx="154">
                  <c:v>-9.1519667586634057</c:v>
                </c:pt>
                <c:pt idx="155">
                  <c:v>-9.1247222184407271</c:v>
                </c:pt>
                <c:pt idx="156">
                  <c:v>-9.0976475260930361</c:v>
                </c:pt>
                <c:pt idx="157">
                  <c:v>-9.0707405770033827</c:v>
                </c:pt>
                <c:pt idx="158">
                  <c:v>-9.0439993054321324</c:v>
                </c:pt>
                <c:pt idx="159">
                  <c:v>-9.0174216835652672</c:v>
                </c:pt>
                <c:pt idx="160">
                  <c:v>-8.9910057205916676</c:v>
                </c:pt>
                <c:pt idx="161">
                  <c:v>-8.9647494618082426</c:v>
                </c:pt>
                <c:pt idx="162">
                  <c:v>-8.9386509877519735</c:v>
                </c:pt>
                <c:pt idx="163">
                  <c:v>-8.9127084133578887</c:v>
                </c:pt>
                <c:pt idx="164">
                  <c:v>-8.8869198871420068</c:v>
                </c:pt>
                <c:pt idx="165">
                  <c:v>-8.8612835904084442</c:v>
                </c:pt>
                <c:pt idx="166">
                  <c:v>-8.8357977364797389</c:v>
                </c:pt>
                <c:pt idx="167">
                  <c:v>-8.8104605699496474</c:v>
                </c:pt>
                <c:pt idx="168">
                  <c:v>-8.7852703659576239</c:v>
                </c:pt>
                <c:pt idx="169">
                  <c:v>-8.7602254294842012</c:v>
                </c:pt>
                <c:pt idx="170">
                  <c:v>-8.7353240946665771</c:v>
                </c:pt>
                <c:pt idx="171">
                  <c:v>-8.7105647241337163</c:v>
                </c:pt>
                <c:pt idx="172">
                  <c:v>-8.6859457083602862</c:v>
                </c:pt>
                <c:pt idx="173">
                  <c:v>-8.6614654650388196</c:v>
                </c:pt>
                <c:pt idx="174">
                  <c:v>-8.6371224384694543</c:v>
                </c:pt>
                <c:pt idx="175">
                  <c:v>-8.6129150989666989</c:v>
                </c:pt>
                <c:pt idx="176">
                  <c:v>-8.5888419422826168</c:v>
                </c:pt>
                <c:pt idx="177">
                  <c:v>-8.5649014890459387</c:v>
                </c:pt>
                <c:pt idx="178">
                  <c:v>-8.5410922842165196</c:v>
                </c:pt>
                <c:pt idx="179">
                  <c:v>-8.5174128965547009</c:v>
                </c:pt>
                <c:pt idx="180">
                  <c:v>-8.4938619181050257</c:v>
                </c:pt>
                <c:pt idx="181">
                  <c:v>-8.4704379636939073</c:v>
                </c:pt>
                <c:pt idx="182">
                  <c:v>-8.4471396704407447</c:v>
                </c:pt>
                <c:pt idx="183">
                  <c:v>-8.4239656972821138</c:v>
                </c:pt>
                <c:pt idx="184">
                  <c:v>-8.4009147245085565</c:v>
                </c:pt>
                <c:pt idx="185">
                  <c:v>-8.3779854533136078</c:v>
                </c:pt>
                <c:pt idx="186">
                  <c:v>-8.3551766053546803</c:v>
                </c:pt>
                <c:pt idx="187">
                  <c:v>-8.3324869223253977</c:v>
                </c:pt>
                <c:pt idx="188">
                  <c:v>-8.3099151655390493</c:v>
                </c:pt>
                <c:pt idx="189">
                  <c:v>-8.2874601155228138</c:v>
                </c:pt>
                <c:pt idx="190">
                  <c:v>-8.2651205716224379</c:v>
                </c:pt>
                <c:pt idx="191">
                  <c:v>-8.2428953516169887</c:v>
                </c:pt>
                <c:pt idx="192">
                  <c:v>-8.2207832913434551</c:v>
                </c:pt>
                <c:pt idx="193">
                  <c:v>-8.1987832443308335</c:v>
                </c:pt>
                <c:pt idx="194">
                  <c:v>-8.1768940814434448</c:v>
                </c:pt>
                <c:pt idx="195">
                  <c:v>-8.1551146905331908</c:v>
                </c:pt>
                <c:pt idx="196">
                  <c:v>-8.1334439761004909</c:v>
                </c:pt>
                <c:pt idx="197">
                  <c:v>-8.111880858963632</c:v>
                </c:pt>
                <c:pt idx="198">
                  <c:v>-8.090424275936293</c:v>
                </c:pt>
                <c:pt idx="199">
                  <c:v>-8.0690731795129658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B-5169-4604-BD43-F47A4CB4DF59}"/>
            </c:ext>
          </c:extLst>
        </c:ser>
        <c:ser>
          <c:idx val="26"/>
          <c:order val="26"/>
          <c:tx>
            <c:strRef>
              <c:f>Calculate!$AB$1</c:f>
              <c:strCache>
                <c:ptCount val="1"/>
                <c:pt idx="0">
                  <c:v>zimmerman_mask</c:v>
                </c:pt>
              </c:strCache>
            </c:strRef>
          </c:tx>
          <c:spPr>
            <a:ln w="50800" cap="rnd" cmpd="dbl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</c:numRef>
          </c:xVal>
          <c:yVal>
            <c:numRef>
              <c:f>Calculate!$AB$2:$AB$201</c:f>
              <c:numCache>
                <c:formatCode>0.00</c:formatCode>
                <c:ptCount val="200"/>
                <c:pt idx="0">
                  <c:v>-2.5327872620251815</c:v>
                </c:pt>
                <c:pt idx="1">
                  <c:v>-3.4827119124779835</c:v>
                </c:pt>
                <c:pt idx="2">
                  <c:v>-4.2014180911435384</c:v>
                </c:pt>
                <c:pt idx="3">
                  <c:v>-4.8031697766367003</c:v>
                </c:pt>
                <c:pt idx="4">
                  <c:v>-5.3313142218878742</c:v>
                </c:pt>
                <c:pt idx="5">
                  <c:v>-5.807773900228808</c:v>
                </c:pt>
                <c:pt idx="6">
                  <c:v>-6.2454330448947344</c:v>
                </c:pt>
                <c:pt idx="7">
                  <c:v>-6.6526134779391164</c:v>
                </c:pt>
                <c:pt idx="8">
                  <c:v>-7.0350530095023451</c:v>
                </c:pt>
                <c:pt idx="9">
                  <c:v>-7.3969026022902815</c:v>
                </c:pt>
                <c:pt idx="10">
                  <c:v>-7.7412781852051582</c:v>
                </c:pt>
                <c:pt idx="11">
                  <c:v>-8.0705882543810876</c:v>
                </c:pt>
                <c:pt idx="12">
                  <c:v>-8.3867393572995574</c:v>
                </c:pt>
                <c:pt idx="13">
                  <c:v>-8.6912708154882825</c:v>
                </c:pt>
                <c:pt idx="14">
                  <c:v>-8.985446334077043</c:v>
                </c:pt>
                <c:pt idx="15">
                  <c:v>-9.2703182295464384</c:v>
                </c:pt>
                <c:pt idx="16">
                  <c:v>-9.5467736476443381</c:v>
                </c:pt>
                <c:pt idx="17">
                  <c:v>-9.8155685761929412</c:v>
                </c:pt>
                <c:pt idx="18">
                  <c:v>-10.077353369933649</c:v>
                </c:pt>
                <c:pt idx="19">
                  <c:v>-10.33269223758829</c:v>
                </c:pt>
                <c:pt idx="20">
                  <c:v>-10.582078347632242</c:v>
                </c:pt>
                <c:pt idx="21">
                  <c:v>-10.825945698050115</c:v>
                </c:pt>
                <c:pt idx="22">
                  <c:v>-11.064678557839294</c:v>
                </c:pt>
                <c:pt idx="23">
                  <c:v>-11.298619060255852</c:v>
                </c:pt>
                <c:pt idx="24">
                  <c:v>-11.528073371017001</c:v>
                </c:pt>
                <c:pt idx="25">
                  <c:v>-11.753316744816626</c:v>
                </c:pt>
                <c:pt idx="26">
                  <c:v>-11.974597705275832</c:v>
                </c:pt>
                <c:pt idx="27">
                  <c:v>-12.192141526907381</c:v>
                </c:pt>
                <c:pt idx="28">
                  <c:v>-12.406153156250484</c:v>
                </c:pt>
                <c:pt idx="29">
                  <c:v>-12.616819678608074</c:v>
                </c:pt>
                <c:pt idx="30">
                  <c:v>-12.824312413766158</c:v>
                </c:pt>
                <c:pt idx="31">
                  <c:v>-13.028788706594037</c:v>
                </c:pt>
                <c:pt idx="32">
                  <c:v>-13.23039346503745</c:v>
                </c:pt>
                <c:pt idx="33">
                  <c:v>-13.429260487670479</c:v>
                </c:pt>
                <c:pt idx="34">
                  <c:v>-13.625513614907099</c:v>
                </c:pt>
                <c:pt idx="35">
                  <c:v>-13.819267731636135</c:v>
                </c:pt>
                <c:pt idx="36">
                  <c:v>-14.010629644026418</c:v>
                </c:pt>
                <c:pt idx="37">
                  <c:v>-14.199698849248932</c:v>
                </c:pt>
                <c:pt idx="38">
                  <c:v>-14.386568213652412</c:v>
                </c:pt>
                <c:pt idx="39">
                  <c:v>-14.571324572336094</c:v>
                </c:pt>
                <c:pt idx="40">
                  <c:v>-14.754049260956997</c:v>
                </c:pt>
                <c:pt idx="41">
                  <c:v>-14.934818588888355</c:v>
                </c:pt>
                <c:pt idx="42">
                  <c:v>-15.113704261432359</c:v>
                </c:pt>
                <c:pt idx="43">
                  <c:v>-15.290773757624041</c:v>
                </c:pt>
                <c:pt idx="44">
                  <c:v>-15.466090669195415</c:v>
                </c:pt>
                <c:pt idx="45">
                  <c:v>-15.639715005463005</c:v>
                </c:pt>
                <c:pt idx="46">
                  <c:v>-15.811703468227313</c:v>
                </c:pt>
                <c:pt idx="47">
                  <c:v>-15.982109700206207</c:v>
                </c:pt>
                <c:pt idx="48">
                  <c:v>-16.150984510045898</c:v>
                </c:pt>
                <c:pt idx="49">
                  <c:v>-16.318376076548617</c:v>
                </c:pt>
                <c:pt idx="50">
                  <c:v>-16.484330134412158</c:v>
                </c:pt>
                <c:pt idx="51">
                  <c:v>-16.648890143482916</c:v>
                </c:pt>
                <c:pt idx="52">
                  <c:v>-16.812097443273519</c:v>
                </c:pt>
                <c:pt idx="53">
                  <c:v>-16.973991394280326</c:v>
                </c:pt>
                <c:pt idx="54">
                  <c:v>-17.134609507451291</c:v>
                </c:pt>
                <c:pt idx="55">
                  <c:v>-17.293987562994062</c:v>
                </c:pt>
                <c:pt idx="56">
                  <c:v>-17.452159719575963</c:v>
                </c:pt>
                <c:pt idx="57">
                  <c:v>-17.609158614847171</c:v>
                </c:pt>
                <c:pt idx="58">
                  <c:v>-17.765015458113655</c:v>
                </c:pt>
                <c:pt idx="59">
                  <c:v>-17.919760115894938</c:v>
                </c:pt>
                <c:pt idx="60">
                  <c:v>-18.073421191022202</c:v>
                </c:pt>
                <c:pt idx="61">
                  <c:v>-18.226026095861801</c:v>
                </c:pt>
                <c:pt idx="62">
                  <c:v>-18.377601120187851</c:v>
                </c:pt>
                <c:pt idx="63">
                  <c:v>-18.528171494173424</c:v>
                </c:pt>
                <c:pt idx="64">
                  <c:v>-18.677761446921799</c:v>
                </c:pt>
                <c:pt idx="65">
                  <c:v>-18.826394260917212</c:v>
                </c:pt>
                <c:pt idx="66">
                  <c:v>-18.974092322736688</c:v>
                </c:pt>
                <c:pt idx="67">
                  <c:v>-19.120877170331664</c:v>
                </c:pt>
                <c:pt idx="68">
                  <c:v>-19.266769537158076</c:v>
                </c:pt>
                <c:pt idx="69">
                  <c:v>-19.411789393407666</c:v>
                </c:pt>
                <c:pt idx="70">
                  <c:v>-19.555955984569291</c:v>
                </c:pt>
                <c:pt idx="71">
                  <c:v>-19.699287867528263</c:v>
                </c:pt>
                <c:pt idx="72">
                  <c:v>-19.841802944392789</c:v>
                </c:pt>
                <c:pt idx="73">
                  <c:v>-19.983518494219737</c:v>
                </c:pt>
                <c:pt idx="74">
                  <c:v>-20.124451202796596</c:v>
                </c:pt>
                <c:pt idx="75">
                  <c:v>-20.264617190623092</c:v>
                </c:pt>
                <c:pt idx="76">
                  <c:v>-20.40403203922347</c:v>
                </c:pt>
                <c:pt idx="77">
                  <c:v>-20.542710815909196</c:v>
                </c:pt>
                <c:pt idx="78">
                  <c:v>-20.680668097102213</c:v>
                </c:pt>
                <c:pt idx="79">
                  <c:v>-20.817917990319298</c:v>
                </c:pt>
                <c:pt idx="80">
                  <c:v>-20.954474154910301</c:v>
                </c:pt>
                <c:pt idx="81">
                  <c:v>-21.090349821635208</c:v>
                </c:pt>
                <c:pt idx="82">
                  <c:v>-21.22555781115846</c:v>
                </c:pt>
                <c:pt idx="83">
                  <c:v>-21.360110551532717</c:v>
                </c:pt>
                <c:pt idx="84">
                  <c:v>-21.494020094738477</c:v>
                </c:pt>
                <c:pt idx="85">
                  <c:v>-21.627298132341259</c:v>
                </c:pt>
                <c:pt idx="86">
                  <c:v>-21.759956010322796</c:v>
                </c:pt>
                <c:pt idx="87">
                  <c:v>-21.892004743139157</c:v>
                </c:pt>
                <c:pt idx="88">
                  <c:v>-22.023455027053998</c:v>
                </c:pt>
                <c:pt idx="89">
                  <c:v>-22.15431725279235</c:v>
                </c:pt>
                <c:pt idx="90">
                  <c:v>-22.284601517556528</c:v>
                </c:pt>
                <c:pt idx="91">
                  <c:v>-22.414317636442977</c:v>
                </c:pt>
                <c:pt idx="92">
                  <c:v>-22.543475153296217</c:v>
                </c:pt>
                <c:pt idx="93">
                  <c:v>-22.672083351033169</c:v>
                </c:pt>
                <c:pt idx="94">
                  <c:v>-22.800151261469225</c:v>
                </c:pt>
                <c:pt idx="95">
                  <c:v>-22.927687674675006</c:v>
                </c:pt>
                <c:pt idx="96">
                  <c:v>-23.054701147890917</c:v>
                </c:pt>
                <c:pt idx="97">
                  <c:v>-23.181200014024608</c:v>
                </c:pt>
                <c:pt idx="98">
                  <c:v>-23.307192389755087</c:v>
                </c:pt>
                <c:pt idx="99">
                  <c:v>-23.43268618326535</c:v>
                </c:pt>
                <c:pt idx="100">
                  <c:v>-23.557689101624021</c:v>
                </c:pt>
                <c:pt idx="101">
                  <c:v>-23.682208657835531</c:v>
                </c:pt>
                <c:pt idx="102">
                  <c:v>-23.806252177576393</c:v>
                </c:pt>
                <c:pt idx="103">
                  <c:v>-23.929826805634903</c:v>
                </c:pt>
                <c:pt idx="104">
                  <c:v>-24.052939512069642</c:v>
                </c:pt>
                <c:pt idx="105">
                  <c:v>-24.175597098101878</c:v>
                </c:pt>
                <c:pt idx="106">
                  <c:v>-24.297806201755762</c:v>
                </c:pt>
                <c:pt idx="107">
                  <c:v>-24.419573303259053</c:v>
                </c:pt>
                <c:pt idx="108">
                  <c:v>-24.540904730217107</c:v>
                </c:pt>
                <c:pt idx="109">
                  <c:v>-24.661806662571365</c:v>
                </c:pt>
                <c:pt idx="110">
                  <c:v>-24.782285137353071</c:v>
                </c:pt>
                <c:pt idx="111">
                  <c:v>-24.902346053242866</c:v>
                </c:pt>
                <c:pt idx="112">
                  <c:v>-25.021995174945388</c:v>
                </c:pt>
                <c:pt idx="113">
                  <c:v>-25.141238137388246</c:v>
                </c:pt>
                <c:pt idx="114">
                  <c:v>-25.260080449753744</c:v>
                </c:pt>
                <c:pt idx="115">
                  <c:v>-25.378527499351527</c:v>
                </c:pt>
                <c:pt idx="116">
                  <c:v>-25.496584555339606</c:v>
                </c:pt>
                <c:pt idx="117">
                  <c:v>-25.614256772301047</c:v>
                </c:pt>
                <c:pt idx="118">
                  <c:v>-25.73154919368303</c:v>
                </c:pt>
                <c:pt idx="119">
                  <c:v>-25.848466755104795</c:v>
                </c:pt>
                <c:pt idx="120">
                  <c:v>-25.965014287540313</c:v>
                </c:pt>
                <c:pt idx="121">
                  <c:v>-26.081196520381649</c:v>
                </c:pt>
                <c:pt idx="122">
                  <c:v>-26.197018084388279</c:v>
                </c:pt>
                <c:pt idx="123">
                  <c:v>-26.312483514527557</c:v>
                </c:pt>
                <c:pt idx="124">
                  <c:v>-26.427597252711198</c:v>
                </c:pt>
                <c:pt idx="125">
                  <c:v>-26.542363650432307</c:v>
                </c:pt>
                <c:pt idx="126">
                  <c:v>-26.656786971307504</c:v>
                </c:pt>
                <c:pt idx="127">
                  <c:v>-26.770871393528012</c:v>
                </c:pt>
                <c:pt idx="128">
                  <c:v>-26.884621012223889</c:v>
                </c:pt>
                <c:pt idx="129">
                  <c:v>-26.998039841745118</c:v>
                </c:pt>
                <c:pt idx="130">
                  <c:v>-27.111131817862827</c:v>
                </c:pt>
                <c:pt idx="131">
                  <c:v>-27.22390079989438</c:v>
                </c:pt>
                <c:pt idx="132">
                  <c:v>-27.336350572755322</c:v>
                </c:pt>
                <c:pt idx="133">
                  <c:v>-27.448484848941227</c:v>
                </c:pt>
                <c:pt idx="134">
                  <c:v>-27.56030727044244</c:v>
                </c:pt>
                <c:pt idx="135">
                  <c:v>-27.671821410594365</c:v>
                </c:pt>
                <c:pt idx="136">
                  <c:v>-27.78303077586601</c:v>
                </c:pt>
                <c:pt idx="137">
                  <c:v>-27.893938807589265</c:v>
                </c:pt>
                <c:pt idx="138">
                  <c:v>-28.004548883631188</c:v>
                </c:pt>
                <c:pt idx="139">
                  <c:v>-28.114864320011783</c:v>
                </c:pt>
                <c:pt idx="140">
                  <c:v>-28.22488837246917</c:v>
                </c:pt>
                <c:pt idx="141">
                  <c:v>-28.33462423797446</c:v>
                </c:pt>
                <c:pt idx="142">
                  <c:v>-28.444075056198095</c:v>
                </c:pt>
                <c:pt idx="143">
                  <c:v>-28.553243910929666</c:v>
                </c:pt>
                <c:pt idx="144">
                  <c:v>-28.662133831452955</c:v>
                </c:pt>
                <c:pt idx="145">
                  <c:v>-28.770747793877895</c:v>
                </c:pt>
                <c:pt idx="146">
                  <c:v>-28.879088722431085</c:v>
                </c:pt>
                <c:pt idx="147">
                  <c:v>-28.987159490706428</c:v>
                </c:pt>
                <c:pt idx="148">
                  <c:v>-29.094962922877478</c:v>
                </c:pt>
                <c:pt idx="149">
                  <c:v>-29.202501794872688</c:v>
                </c:pt>
                <c:pt idx="150">
                  <c:v>-29.309778835515207</c:v>
                </c:pt>
                <c:pt idx="151">
                  <c:v>-29.416796727628281</c:v>
                </c:pt>
                <c:pt idx="152">
                  <c:v>-29.523558109107743</c:v>
                </c:pt>
                <c:pt idx="153">
                  <c:v>-29.630065573962558</c:v>
                </c:pt>
                <c:pt idx="154">
                  <c:v>-29.73632167332471</c:v>
                </c:pt>
                <c:pt idx="155">
                  <c:v>-29.842328916429555</c:v>
                </c:pt>
                <c:pt idx="156">
                  <c:v>-29.948089771567542</c:v>
                </c:pt>
                <c:pt idx="157">
                  <c:v>-30.053606667008445</c:v>
                </c:pt>
                <c:pt idx="158">
                  <c:v>-30.158881991899015</c:v>
                </c:pt>
                <c:pt idx="159">
                  <c:v>-30.263918097135068</c:v>
                </c:pt>
                <c:pt idx="160">
                  <c:v>-30.368717296208576</c:v>
                </c:pt>
                <c:pt idx="161">
                  <c:v>-30.473281866031197</c:v>
                </c:pt>
                <c:pt idx="162">
                  <c:v>-30.577614047734421</c:v>
                </c:pt>
                <c:pt idx="163">
                  <c:v>-30.681716047447605</c:v>
                </c:pt>
                <c:pt idx="164">
                  <c:v>-30.785590037054334</c:v>
                </c:pt>
                <c:pt idx="165">
                  <c:v>-30.889238154928034</c:v>
                </c:pt>
                <c:pt idx="166">
                  <c:v>-30.992662506647495</c:v>
                </c:pt>
                <c:pt idx="167">
                  <c:v>-31.095865165692743</c:v>
                </c:pt>
                <c:pt idx="168">
                  <c:v>-31.198848174122308</c:v>
                </c:pt>
                <c:pt idx="169">
                  <c:v>-31.301613543232243</c:v>
                </c:pt>
                <c:pt idx="170">
                  <c:v>-31.404163254197364</c:v>
                </c:pt>
                <c:pt idx="171">
                  <c:v>-31.506499258695705</c:v>
                </c:pt>
                <c:pt idx="172">
                  <c:v>-31.608623479516254</c:v>
                </c:pt>
                <c:pt idx="173">
                  <c:v>-31.710537811150946</c:v>
                </c:pt>
                <c:pt idx="174">
                  <c:v>-31.812244120370963</c:v>
                </c:pt>
                <c:pt idx="175">
                  <c:v>-31.913744246788333</c:v>
                </c:pt>
                <c:pt idx="176">
                  <c:v>-32.01504000340276</c:v>
                </c:pt>
                <c:pt idx="177">
                  <c:v>-32.116133177134657</c:v>
                </c:pt>
                <c:pt idx="178">
                  <c:v>-32.217025529344404</c:v>
                </c:pt>
                <c:pt idx="179">
                  <c:v>-32.317718796338568</c:v>
                </c:pt>
                <c:pt idx="180">
                  <c:v>-32.418214689863206</c:v>
                </c:pt>
                <c:pt idx="181">
                  <c:v>-32.518514897584907</c:v>
                </c:pt>
                <c:pt idx="182">
                  <c:v>-32.618621083559724</c:v>
                </c:pt>
                <c:pt idx="183">
                  <c:v>-32.71853488869057</c:v>
                </c:pt>
                <c:pt idx="184">
                  <c:v>-32.818257931173207</c:v>
                </c:pt>
                <c:pt idx="185">
                  <c:v>-32.917791806931376</c:v>
                </c:pt>
                <c:pt idx="186">
                  <c:v>-33.017138090041243</c:v>
                </c:pt>
                <c:pt idx="187">
                  <c:v>-33.116298333145537</c:v>
                </c:pt>
                <c:pt idx="188">
                  <c:v>-33.215274067857727</c:v>
                </c:pt>
                <c:pt idx="189">
                  <c:v>-33.314066805156443</c:v>
                </c:pt>
                <c:pt idx="190">
                  <c:v>-33.412678035770455</c:v>
                </c:pt>
                <c:pt idx="191">
                  <c:v>-33.51110923055446</c:v>
                </c:pt>
                <c:pt idx="192">
                  <c:v>-33.609361840856167</c:v>
                </c:pt>
                <c:pt idx="193">
                  <c:v>-33.707437298874432</c:v>
                </c:pt>
                <c:pt idx="194">
                  <c:v>-33.805337018009297</c:v>
                </c:pt>
                <c:pt idx="195">
                  <c:v>-33.903062393203655</c:v>
                </c:pt>
                <c:pt idx="196">
                  <c:v>-34.000614801277216</c:v>
                </c:pt>
                <c:pt idx="197">
                  <c:v>-34.097995601252464</c:v>
                </c:pt>
                <c:pt idx="198">
                  <c:v>-34.195206134673469</c:v>
                </c:pt>
                <c:pt idx="199">
                  <c:v>-34.292247725917143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1E2-4FE2-B976-F91CEBAF4C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522992"/>
        <c:axId val="93252758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Calculate!$B$1</c15:sqref>
                        </c15:formulaRef>
                      </c:ext>
                    </c:extLst>
                    <c:strCache>
                      <c:ptCount val="1"/>
                      <c:pt idx="0">
                        <c:v>dF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Calculate!$B$2:$B$201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45000000</c:v>
                      </c:pt>
                      <c:pt idx="1">
                        <c:v>45000000</c:v>
                      </c:pt>
                      <c:pt idx="2">
                        <c:v>45000000</c:v>
                      </c:pt>
                      <c:pt idx="3">
                        <c:v>45000000</c:v>
                      </c:pt>
                      <c:pt idx="4">
                        <c:v>45000000</c:v>
                      </c:pt>
                      <c:pt idx="5">
                        <c:v>45000000</c:v>
                      </c:pt>
                      <c:pt idx="6">
                        <c:v>45000000</c:v>
                      </c:pt>
                      <c:pt idx="7">
                        <c:v>45000000</c:v>
                      </c:pt>
                      <c:pt idx="8">
                        <c:v>45000000</c:v>
                      </c:pt>
                      <c:pt idx="9">
                        <c:v>45000000</c:v>
                      </c:pt>
                      <c:pt idx="10">
                        <c:v>45000000</c:v>
                      </c:pt>
                      <c:pt idx="11">
                        <c:v>45000000</c:v>
                      </c:pt>
                      <c:pt idx="12">
                        <c:v>45000000</c:v>
                      </c:pt>
                      <c:pt idx="13">
                        <c:v>45000000</c:v>
                      </c:pt>
                      <c:pt idx="14">
                        <c:v>45000000</c:v>
                      </c:pt>
                      <c:pt idx="15">
                        <c:v>45000000</c:v>
                      </c:pt>
                      <c:pt idx="16">
                        <c:v>45000000</c:v>
                      </c:pt>
                      <c:pt idx="17">
                        <c:v>45000000</c:v>
                      </c:pt>
                      <c:pt idx="18">
                        <c:v>45000000</c:v>
                      </c:pt>
                      <c:pt idx="19">
                        <c:v>45000000</c:v>
                      </c:pt>
                      <c:pt idx="20">
                        <c:v>45000000</c:v>
                      </c:pt>
                      <c:pt idx="21">
                        <c:v>45000000</c:v>
                      </c:pt>
                      <c:pt idx="22">
                        <c:v>45000000</c:v>
                      </c:pt>
                      <c:pt idx="23">
                        <c:v>45000000</c:v>
                      </c:pt>
                      <c:pt idx="24">
                        <c:v>45000000</c:v>
                      </c:pt>
                      <c:pt idx="25">
                        <c:v>45000000</c:v>
                      </c:pt>
                      <c:pt idx="26">
                        <c:v>45000000</c:v>
                      </c:pt>
                      <c:pt idx="27">
                        <c:v>45000000</c:v>
                      </c:pt>
                      <c:pt idx="28">
                        <c:v>45000000</c:v>
                      </c:pt>
                      <c:pt idx="29">
                        <c:v>45000000</c:v>
                      </c:pt>
                      <c:pt idx="30">
                        <c:v>45000000</c:v>
                      </c:pt>
                      <c:pt idx="31">
                        <c:v>45000000</c:v>
                      </c:pt>
                      <c:pt idx="32">
                        <c:v>45000000</c:v>
                      </c:pt>
                      <c:pt idx="33">
                        <c:v>45000000</c:v>
                      </c:pt>
                      <c:pt idx="34">
                        <c:v>45000000</c:v>
                      </c:pt>
                      <c:pt idx="35">
                        <c:v>45000000</c:v>
                      </c:pt>
                      <c:pt idx="36">
                        <c:v>45000000</c:v>
                      </c:pt>
                      <c:pt idx="37">
                        <c:v>45000000</c:v>
                      </c:pt>
                      <c:pt idx="38">
                        <c:v>45000000</c:v>
                      </c:pt>
                      <c:pt idx="39">
                        <c:v>45000000</c:v>
                      </c:pt>
                      <c:pt idx="40">
                        <c:v>45000000</c:v>
                      </c:pt>
                      <c:pt idx="41">
                        <c:v>45000000</c:v>
                      </c:pt>
                      <c:pt idx="42">
                        <c:v>45000000</c:v>
                      </c:pt>
                      <c:pt idx="43">
                        <c:v>45000000</c:v>
                      </c:pt>
                      <c:pt idx="44">
                        <c:v>45000000</c:v>
                      </c:pt>
                      <c:pt idx="45">
                        <c:v>45000000</c:v>
                      </c:pt>
                      <c:pt idx="46">
                        <c:v>45000000</c:v>
                      </c:pt>
                      <c:pt idx="47">
                        <c:v>45000000</c:v>
                      </c:pt>
                      <c:pt idx="48">
                        <c:v>45000000</c:v>
                      </c:pt>
                      <c:pt idx="49">
                        <c:v>45000000</c:v>
                      </c:pt>
                      <c:pt idx="50">
                        <c:v>45000000</c:v>
                      </c:pt>
                      <c:pt idx="51">
                        <c:v>45000000</c:v>
                      </c:pt>
                      <c:pt idx="52">
                        <c:v>45000000</c:v>
                      </c:pt>
                      <c:pt idx="53">
                        <c:v>45000000</c:v>
                      </c:pt>
                      <c:pt idx="54">
                        <c:v>45000000</c:v>
                      </c:pt>
                      <c:pt idx="55">
                        <c:v>45000000</c:v>
                      </c:pt>
                      <c:pt idx="56">
                        <c:v>45000000</c:v>
                      </c:pt>
                      <c:pt idx="57">
                        <c:v>45000000</c:v>
                      </c:pt>
                      <c:pt idx="58">
                        <c:v>45000000</c:v>
                      </c:pt>
                      <c:pt idx="59">
                        <c:v>45000000</c:v>
                      </c:pt>
                      <c:pt idx="60">
                        <c:v>45000000</c:v>
                      </c:pt>
                      <c:pt idx="61">
                        <c:v>45000000</c:v>
                      </c:pt>
                      <c:pt idx="62">
                        <c:v>45000000</c:v>
                      </c:pt>
                      <c:pt idx="63">
                        <c:v>45000000</c:v>
                      </c:pt>
                      <c:pt idx="64">
                        <c:v>45000000</c:v>
                      </c:pt>
                      <c:pt idx="65">
                        <c:v>45000000</c:v>
                      </c:pt>
                      <c:pt idx="66">
                        <c:v>45000000</c:v>
                      </c:pt>
                      <c:pt idx="67">
                        <c:v>45000000</c:v>
                      </c:pt>
                      <c:pt idx="68">
                        <c:v>45000000</c:v>
                      </c:pt>
                      <c:pt idx="69">
                        <c:v>45000000</c:v>
                      </c:pt>
                      <c:pt idx="70">
                        <c:v>45000000</c:v>
                      </c:pt>
                      <c:pt idx="71">
                        <c:v>45000000</c:v>
                      </c:pt>
                      <c:pt idx="72">
                        <c:v>45000000</c:v>
                      </c:pt>
                      <c:pt idx="73">
                        <c:v>45000000</c:v>
                      </c:pt>
                      <c:pt idx="74">
                        <c:v>45000000</c:v>
                      </c:pt>
                      <c:pt idx="75">
                        <c:v>45000000</c:v>
                      </c:pt>
                      <c:pt idx="76">
                        <c:v>45000000</c:v>
                      </c:pt>
                      <c:pt idx="77">
                        <c:v>45000000</c:v>
                      </c:pt>
                      <c:pt idx="78">
                        <c:v>45000000</c:v>
                      </c:pt>
                      <c:pt idx="79">
                        <c:v>45000000</c:v>
                      </c:pt>
                      <c:pt idx="80">
                        <c:v>45000000</c:v>
                      </c:pt>
                      <c:pt idx="81">
                        <c:v>45000000</c:v>
                      </c:pt>
                      <c:pt idx="82">
                        <c:v>45000000</c:v>
                      </c:pt>
                      <c:pt idx="83">
                        <c:v>45000000</c:v>
                      </c:pt>
                      <c:pt idx="84">
                        <c:v>45000000</c:v>
                      </c:pt>
                      <c:pt idx="85">
                        <c:v>45000000</c:v>
                      </c:pt>
                      <c:pt idx="86">
                        <c:v>45000000</c:v>
                      </c:pt>
                      <c:pt idx="87">
                        <c:v>45000000</c:v>
                      </c:pt>
                      <c:pt idx="88">
                        <c:v>45000000</c:v>
                      </c:pt>
                      <c:pt idx="89">
                        <c:v>45000000</c:v>
                      </c:pt>
                      <c:pt idx="90">
                        <c:v>45000000</c:v>
                      </c:pt>
                      <c:pt idx="91">
                        <c:v>45000000</c:v>
                      </c:pt>
                      <c:pt idx="92">
                        <c:v>45000000</c:v>
                      </c:pt>
                      <c:pt idx="93">
                        <c:v>45000000</c:v>
                      </c:pt>
                      <c:pt idx="94">
                        <c:v>45000000</c:v>
                      </c:pt>
                      <c:pt idx="95">
                        <c:v>45000000</c:v>
                      </c:pt>
                      <c:pt idx="96">
                        <c:v>45000000</c:v>
                      </c:pt>
                      <c:pt idx="97">
                        <c:v>45000000</c:v>
                      </c:pt>
                      <c:pt idx="98">
                        <c:v>45000000</c:v>
                      </c:pt>
                      <c:pt idx="99">
                        <c:v>45000000</c:v>
                      </c:pt>
                      <c:pt idx="100">
                        <c:v>45000000</c:v>
                      </c:pt>
                      <c:pt idx="101">
                        <c:v>45000000</c:v>
                      </c:pt>
                      <c:pt idx="102">
                        <c:v>45000000</c:v>
                      </c:pt>
                      <c:pt idx="103">
                        <c:v>45000000</c:v>
                      </c:pt>
                      <c:pt idx="104">
                        <c:v>45000000</c:v>
                      </c:pt>
                      <c:pt idx="105">
                        <c:v>45000000</c:v>
                      </c:pt>
                      <c:pt idx="106">
                        <c:v>45000000</c:v>
                      </c:pt>
                      <c:pt idx="107">
                        <c:v>45000000</c:v>
                      </c:pt>
                      <c:pt idx="108">
                        <c:v>45000000</c:v>
                      </c:pt>
                      <c:pt idx="109">
                        <c:v>45000000</c:v>
                      </c:pt>
                      <c:pt idx="110">
                        <c:v>45000000</c:v>
                      </c:pt>
                      <c:pt idx="111">
                        <c:v>45000000</c:v>
                      </c:pt>
                      <c:pt idx="112">
                        <c:v>45000000</c:v>
                      </c:pt>
                      <c:pt idx="113">
                        <c:v>45000000</c:v>
                      </c:pt>
                      <c:pt idx="114">
                        <c:v>45000000</c:v>
                      </c:pt>
                      <c:pt idx="115">
                        <c:v>45000000</c:v>
                      </c:pt>
                      <c:pt idx="116">
                        <c:v>45000000</c:v>
                      </c:pt>
                      <c:pt idx="117">
                        <c:v>45000000</c:v>
                      </c:pt>
                      <c:pt idx="118">
                        <c:v>45000000</c:v>
                      </c:pt>
                      <c:pt idx="119">
                        <c:v>45000000</c:v>
                      </c:pt>
                      <c:pt idx="120">
                        <c:v>45000000</c:v>
                      </c:pt>
                      <c:pt idx="121">
                        <c:v>45000000</c:v>
                      </c:pt>
                      <c:pt idx="122">
                        <c:v>45000000</c:v>
                      </c:pt>
                      <c:pt idx="123">
                        <c:v>45000000</c:v>
                      </c:pt>
                      <c:pt idx="124">
                        <c:v>45000000</c:v>
                      </c:pt>
                      <c:pt idx="125">
                        <c:v>45000000</c:v>
                      </c:pt>
                      <c:pt idx="126">
                        <c:v>45000000</c:v>
                      </c:pt>
                      <c:pt idx="127">
                        <c:v>45000000</c:v>
                      </c:pt>
                      <c:pt idx="128">
                        <c:v>45000000</c:v>
                      </c:pt>
                      <c:pt idx="129">
                        <c:v>45000000</c:v>
                      </c:pt>
                      <c:pt idx="130">
                        <c:v>45000000</c:v>
                      </c:pt>
                      <c:pt idx="131">
                        <c:v>45000000</c:v>
                      </c:pt>
                      <c:pt idx="132">
                        <c:v>45000000</c:v>
                      </c:pt>
                      <c:pt idx="133">
                        <c:v>45000000</c:v>
                      </c:pt>
                      <c:pt idx="134">
                        <c:v>45000000</c:v>
                      </c:pt>
                      <c:pt idx="135">
                        <c:v>45000000</c:v>
                      </c:pt>
                      <c:pt idx="136">
                        <c:v>45000000</c:v>
                      </c:pt>
                      <c:pt idx="137">
                        <c:v>45000000</c:v>
                      </c:pt>
                      <c:pt idx="138">
                        <c:v>45000000</c:v>
                      </c:pt>
                      <c:pt idx="139">
                        <c:v>45000000</c:v>
                      </c:pt>
                      <c:pt idx="140">
                        <c:v>45000000</c:v>
                      </c:pt>
                      <c:pt idx="141">
                        <c:v>45000000</c:v>
                      </c:pt>
                      <c:pt idx="142">
                        <c:v>45000000</c:v>
                      </c:pt>
                      <c:pt idx="143">
                        <c:v>45000000</c:v>
                      </c:pt>
                      <c:pt idx="144">
                        <c:v>45000000</c:v>
                      </c:pt>
                      <c:pt idx="145">
                        <c:v>45000000</c:v>
                      </c:pt>
                      <c:pt idx="146">
                        <c:v>45000000</c:v>
                      </c:pt>
                      <c:pt idx="147">
                        <c:v>45000000</c:v>
                      </c:pt>
                      <c:pt idx="148">
                        <c:v>45000000</c:v>
                      </c:pt>
                      <c:pt idx="149">
                        <c:v>45000000</c:v>
                      </c:pt>
                      <c:pt idx="150">
                        <c:v>45000000</c:v>
                      </c:pt>
                      <c:pt idx="151">
                        <c:v>45000000</c:v>
                      </c:pt>
                      <c:pt idx="152">
                        <c:v>45000000</c:v>
                      </c:pt>
                      <c:pt idx="153">
                        <c:v>45000000</c:v>
                      </c:pt>
                      <c:pt idx="154">
                        <c:v>45000000</c:v>
                      </c:pt>
                      <c:pt idx="155">
                        <c:v>45000000</c:v>
                      </c:pt>
                      <c:pt idx="156">
                        <c:v>45000000</c:v>
                      </c:pt>
                      <c:pt idx="157">
                        <c:v>45000000</c:v>
                      </c:pt>
                      <c:pt idx="158">
                        <c:v>45000000</c:v>
                      </c:pt>
                      <c:pt idx="159">
                        <c:v>45000000</c:v>
                      </c:pt>
                      <c:pt idx="160">
                        <c:v>45000000</c:v>
                      </c:pt>
                      <c:pt idx="161">
                        <c:v>45000000</c:v>
                      </c:pt>
                      <c:pt idx="162">
                        <c:v>45000000</c:v>
                      </c:pt>
                      <c:pt idx="163">
                        <c:v>45000000</c:v>
                      </c:pt>
                      <c:pt idx="164">
                        <c:v>45000000</c:v>
                      </c:pt>
                      <c:pt idx="165">
                        <c:v>45000000</c:v>
                      </c:pt>
                      <c:pt idx="166">
                        <c:v>45000000</c:v>
                      </c:pt>
                      <c:pt idx="167">
                        <c:v>45000000</c:v>
                      </c:pt>
                      <c:pt idx="168">
                        <c:v>45000000</c:v>
                      </c:pt>
                      <c:pt idx="169">
                        <c:v>45000000</c:v>
                      </c:pt>
                      <c:pt idx="170">
                        <c:v>45000000</c:v>
                      </c:pt>
                      <c:pt idx="171">
                        <c:v>45000000</c:v>
                      </c:pt>
                      <c:pt idx="172">
                        <c:v>45000000</c:v>
                      </c:pt>
                      <c:pt idx="173">
                        <c:v>45000000</c:v>
                      </c:pt>
                      <c:pt idx="174">
                        <c:v>45000000</c:v>
                      </c:pt>
                      <c:pt idx="175">
                        <c:v>45000000</c:v>
                      </c:pt>
                      <c:pt idx="176">
                        <c:v>45000000</c:v>
                      </c:pt>
                      <c:pt idx="177">
                        <c:v>45000000</c:v>
                      </c:pt>
                      <c:pt idx="178">
                        <c:v>45000000</c:v>
                      </c:pt>
                      <c:pt idx="179">
                        <c:v>45000000</c:v>
                      </c:pt>
                      <c:pt idx="180">
                        <c:v>45000000</c:v>
                      </c:pt>
                      <c:pt idx="181">
                        <c:v>45000000</c:v>
                      </c:pt>
                      <c:pt idx="182">
                        <c:v>45000000</c:v>
                      </c:pt>
                      <c:pt idx="183">
                        <c:v>45000000</c:v>
                      </c:pt>
                      <c:pt idx="184">
                        <c:v>45000000</c:v>
                      </c:pt>
                      <c:pt idx="185">
                        <c:v>45000000</c:v>
                      </c:pt>
                      <c:pt idx="186">
                        <c:v>45000000</c:v>
                      </c:pt>
                      <c:pt idx="187">
                        <c:v>45000000</c:v>
                      </c:pt>
                      <c:pt idx="188">
                        <c:v>45000000</c:v>
                      </c:pt>
                      <c:pt idx="189">
                        <c:v>45000000</c:v>
                      </c:pt>
                      <c:pt idx="190">
                        <c:v>45000000</c:v>
                      </c:pt>
                      <c:pt idx="191">
                        <c:v>45000000</c:v>
                      </c:pt>
                      <c:pt idx="192">
                        <c:v>45000000</c:v>
                      </c:pt>
                      <c:pt idx="193">
                        <c:v>45000000</c:v>
                      </c:pt>
                      <c:pt idx="194">
                        <c:v>45000000</c:v>
                      </c:pt>
                      <c:pt idx="195">
                        <c:v>45000000</c:v>
                      </c:pt>
                      <c:pt idx="196">
                        <c:v>45000000</c:v>
                      </c:pt>
                      <c:pt idx="197">
                        <c:v>45000000</c:v>
                      </c:pt>
                      <c:pt idx="198">
                        <c:v>45000000</c:v>
                      </c:pt>
                      <c:pt idx="199">
                        <c:v>45000000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5169-4604-BD43-F47A4CB4DF59}"/>
                  </c:ext>
                </c:extLst>
              </c15:ser>
            </c15:filteredScatterSeries>
            <c15:filteredScatterSeries>
              <c15:ser>
                <c:idx val="16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Calculate!$F$1</c15:sqref>
                        </c15:formulaRef>
                      </c:ext>
                    </c:extLst>
                    <c:strCache>
                      <c:ptCount val="1"/>
                      <c:pt idx="0">
                        <c:v>Tx_PSD_us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Calculate!$F$2:$F$201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169-4604-BD43-F47A4CB4DF59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Calculate!$G$1</c15:sqref>
                        </c15:formulaRef>
                      </c:ext>
                    </c:extLst>
                    <c:strCache>
                      <c:ptCount val="1"/>
                      <c:pt idx="0">
                        <c:v>Tx_PSD_ds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Calculate!$G$2:$G$201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-97.360471704616899</c:v>
                      </c:pt>
                      <c:pt idx="1">
                        <c:v>-97.360910630638642</c:v>
                      </c:pt>
                      <c:pt idx="2">
                        <c:v>-97.361642193725203</c:v>
                      </c:pt>
                      <c:pt idx="3">
                        <c:v>-97.362666423455991</c:v>
                      </c:pt>
                      <c:pt idx="4">
                        <c:v>-97.363983361250234</c:v>
                      </c:pt>
                      <c:pt idx="5">
                        <c:v>-97.365593060374835</c:v>
                      </c:pt>
                      <c:pt idx="6">
                        <c:v>-97.367495585954714</c:v>
                      </c:pt>
                      <c:pt idx="7">
                        <c:v>-97.369691014985335</c:v>
                      </c:pt>
                      <c:pt idx="8">
                        <c:v>-97.372179436347551</c:v>
                      </c:pt>
                      <c:pt idx="9">
                        <c:v>-97.374960950824729</c:v>
                      </c:pt>
                      <c:pt idx="10">
                        <c:v>-97.378035671122277</c:v>
                      </c:pt>
                      <c:pt idx="11">
                        <c:v>-97.381403721889328</c:v>
                      </c:pt>
                      <c:pt idx="12">
                        <c:v>-97.385065239742929</c:v>
                      </c:pt>
                      <c:pt idx="13">
                        <c:v>-97.389020373294386</c:v>
                      </c:pt>
                      <c:pt idx="14">
                        <c:v>-97.393269283178128</c:v>
                      </c:pt>
                      <c:pt idx="15">
                        <c:v>-97.397812142082799</c:v>
                      </c:pt>
                      <c:pt idx="16">
                        <c:v>-97.402649134784795</c:v>
                      </c:pt>
                      <c:pt idx="17">
                        <c:v>-97.407780458184163</c:v>
                      </c:pt>
                      <c:pt idx="18">
                        <c:v>-97.413206321342912</c:v>
                      </c:pt>
                      <c:pt idx="19">
                        <c:v>-97.418926945525754</c:v>
                      </c:pt>
                      <c:pt idx="20">
                        <c:v>-97.424942564243224</c:v>
                      </c:pt>
                      <c:pt idx="21">
                        <c:v>-97.431253423297335</c:v>
                      </c:pt>
                      <c:pt idx="22">
                        <c:v>-97.437859780829697</c:v>
                      </c:pt>
                      <c:pt idx="23">
                        <c:v>-97.44476190737204</c:v>
                      </c:pt>
                      <c:pt idx="24">
                        <c:v>-97.451960085899387</c:v>
                      </c:pt>
                      <c:pt idx="25">
                        <c:v>-97.459454611885661</c:v>
                      </c:pt>
                      <c:pt idx="26">
                        <c:v>-97.467245793361968</c:v>
                      </c:pt>
                      <c:pt idx="27">
                        <c:v>-97.475333950977316</c:v>
                      </c:pt>
                      <c:pt idx="28">
                        <c:v>-97.483719418062108</c:v>
                      </c:pt>
                      <c:pt idx="29">
                        <c:v>-97.492402540694215</c:v>
                      </c:pt>
                      <c:pt idx="30">
                        <c:v>-97.501383677767677</c:v>
                      </c:pt>
                      <c:pt idx="31">
                        <c:v>-97.510663201064176</c:v>
                      </c:pt>
                      <c:pt idx="32">
                        <c:v>-97.520241495327298</c:v>
                      </c:pt>
                      <c:pt idx="33">
                        <c:v>-97.530118958339358</c:v>
                      </c:pt>
                      <c:pt idx="34">
                        <c:v>-97.540296001001281</c:v>
                      </c:pt>
                      <c:pt idx="35">
                        <c:v>-97.550773047415191</c:v>
                      </c:pt>
                      <c:pt idx="36">
                        <c:v>-97.561550534969811</c:v>
                      </c:pt>
                      <c:pt idx="37">
                        <c:v>-97.572628914428989</c:v>
                      </c:pt>
                      <c:pt idx="38">
                        <c:v>-97.584008650022952</c:v>
                      </c:pt>
                      <c:pt idx="39">
                        <c:v>-97.595690219542689</c:v>
                      </c:pt>
                      <c:pt idx="40">
                        <c:v>-97.607674114437401</c:v>
                      </c:pt>
                      <c:pt idx="41">
                        <c:v>-97.619960839914896</c:v>
                      </c:pt>
                      <c:pt idx="42">
                        <c:v>-97.632550915045258</c:v>
                      </c:pt>
                      <c:pt idx="43">
                        <c:v>-97.6454448728676</c:v>
                      </c:pt>
                      <c:pt idx="44">
                        <c:v>-97.658643260500114</c:v>
                      </c:pt>
                      <c:pt idx="45">
                        <c:v>-97.672146639253342</c:v>
                      </c:pt>
                      <c:pt idx="46">
                        <c:v>-97.68595558474685</c:v>
                      </c:pt>
                      <c:pt idx="47">
                        <c:v>-97.700070687029196</c:v>
                      </c:pt>
                      <c:pt idx="48">
                        <c:v>-97.714492550701436</c:v>
                      </c:pt>
                      <c:pt idx="49">
                        <c:v>-97.729221795044026</c:v>
                      </c:pt>
                      <c:pt idx="50">
                        <c:v>-97.744259054147435</c:v>
                      </c:pt>
                      <c:pt idx="51">
                        <c:v>-97.759604977046266</c:v>
                      </c:pt>
                      <c:pt idx="52">
                        <c:v>-97.775260227857032</c:v>
                      </c:pt>
                      <c:pt idx="53">
                        <c:v>-97.791225485919881</c:v>
                      </c:pt>
                      <c:pt idx="54">
                        <c:v>-97.807501445943899</c:v>
                      </c:pt>
                      <c:pt idx="55">
                        <c:v>-97.824088818156511</c:v>
                      </c:pt>
                      <c:pt idx="56">
                        <c:v>-97.840988328456731</c:v>
                      </c:pt>
                      <c:pt idx="57">
                        <c:v>-97.858200718572533</c:v>
                      </c:pt>
                      <c:pt idx="58">
                        <c:v>-97.875726746222213</c:v>
                      </c:pt>
                      <c:pt idx="59">
                        <c:v>-97.893567185280162</c:v>
                      </c:pt>
                      <c:pt idx="60">
                        <c:v>-97.91172282594674</c:v>
                      </c:pt>
                      <c:pt idx="61">
                        <c:v>-97.930194474922601</c:v>
                      </c:pt>
                      <c:pt idx="62">
                        <c:v>-97.948982955587496</c:v>
                      </c:pt>
                      <c:pt idx="63">
                        <c:v>-97.96808910818352</c:v>
                      </c:pt>
                      <c:pt idx="64">
                        <c:v>-97.987513790003149</c:v>
                      </c:pt>
                      <c:pt idx="65">
                        <c:v>-98.007257875581942</c:v>
                      </c:pt>
                      <c:pt idx="66">
                        <c:v>-98.027322256896028</c:v>
                      </c:pt>
                      <c:pt idx="67">
                        <c:v>-98.04770784356468</c:v>
                      </c:pt>
                      <c:pt idx="68">
                        <c:v>-98.068415563057783</c:v>
                      </c:pt>
                      <c:pt idx="69">
                        <c:v>-98.089446360908553</c:v>
                      </c:pt>
                      <c:pt idx="70">
                        <c:v>-98.110801200931533</c:v>
                      </c:pt>
                      <c:pt idx="71">
                        <c:v>-98.13248106544593</c:v>
                      </c:pt>
                      <c:pt idx="72">
                        <c:v>-98.154486955504481</c:v>
                      </c:pt>
                      <c:pt idx="73">
                        <c:v>-98.176819891127963</c:v>
                      </c:pt>
                      <c:pt idx="74">
                        <c:v>-98.199480911545393</c:v>
                      </c:pt>
                      <c:pt idx="75">
                        <c:v>-98.222471075440311</c:v>
                      </c:pt>
                      <c:pt idx="76">
                        <c:v>-98.245791461202813</c:v>
                      </c:pt>
                      <c:pt idx="77">
                        <c:v>-98.269443167187973</c:v>
                      </c:pt>
                      <c:pt idx="78">
                        <c:v>-98.293427311980494</c:v>
                      </c:pt>
                      <c:pt idx="79">
                        <c:v>-98.317745034665819</c:v>
                      </c:pt>
                      <c:pt idx="80">
                        <c:v>-98.342397495107846</c:v>
                      </c:pt>
                      <c:pt idx="81">
                        <c:v>-98.367385874233491</c:v>
                      </c:pt>
                      <c:pt idx="82">
                        <c:v>-98.392711374324051</c:v>
                      </c:pt>
                      <c:pt idx="83">
                        <c:v>-98.41837521931383</c:v>
                      </c:pt>
                      <c:pt idx="84">
                        <c:v>-98.44437865509596</c:v>
                      </c:pt>
                      <c:pt idx="85">
                        <c:v>-98.470722949835647</c:v>
                      </c:pt>
                      <c:pt idx="86">
                        <c:v>-98.497409394291168</c:v>
                      </c:pt>
                      <c:pt idx="87">
                        <c:v>-98.524439302142625</c:v>
                      </c:pt>
                      <c:pt idx="88">
                        <c:v>-98.551814010328769</c:v>
                      </c:pt>
                      <c:pt idx="89">
                        <c:v>-98.579534879392043</c:v>
                      </c:pt>
                      <c:pt idx="90">
                        <c:v>-98.607603293832113</c:v>
                      </c:pt>
                      <c:pt idx="91">
                        <c:v>-98.636020662468042</c:v>
                      </c:pt>
                      <c:pt idx="92">
                        <c:v>-98.664788418809323</c:v>
                      </c:pt>
                      <c:pt idx="93">
                        <c:v>-98.693908021436144</c:v>
                      </c:pt>
                      <c:pt idx="94">
                        <c:v>-98.723380954388901</c:v>
                      </c:pt>
                      <c:pt idx="95">
                        <c:v>-98.753208727567383</c:v>
                      </c:pt>
                      <c:pt idx="96">
                        <c:v>-98.78339287713986</c:v>
                      </c:pt>
                      <c:pt idx="97">
                        <c:v>-98.813934965962218</c:v>
                      </c:pt>
                      <c:pt idx="98">
                        <c:v>-98.844836584007595</c:v>
                      </c:pt>
                      <c:pt idx="99">
                        <c:v>-98.876099348806591</c:v>
                      </c:pt>
                      <c:pt idx="100">
                        <c:v>-98.907724905898633</c:v>
                      </c:pt>
                      <c:pt idx="101">
                        <c:v>-98.939714929294425</c:v>
                      </c:pt>
                      <c:pt idx="102">
                        <c:v>-98.972071121950165</c:v>
                      </c:pt>
                      <c:pt idx="103">
                        <c:v>-99.004795216253555</c:v>
                      </c:pt>
                      <c:pt idx="104">
                        <c:v>-99.037888974522176</c:v>
                      </c:pt>
                      <c:pt idx="105">
                        <c:v>-99.071354189514295</c:v>
                      </c:pt>
                      <c:pt idx="106">
                        <c:v>-99.10519268495284</c:v>
                      </c:pt>
                      <c:pt idx="107">
                        <c:v>-99.139406316062534</c:v>
                      </c:pt>
                      <c:pt idx="108">
                        <c:v>-99.173996970120768</c:v>
                      </c:pt>
                      <c:pt idx="109">
                        <c:v>-99.208966567022657</c:v>
                      </c:pt>
                      <c:pt idx="110">
                        <c:v>-99.244317059860435</c:v>
                      </c:pt>
                      <c:pt idx="111">
                        <c:v>-99.280050435518007</c:v>
                      </c:pt>
                      <c:pt idx="112">
                        <c:v>-99.316168715280682</c:v>
                      </c:pt>
                      <c:pt idx="113">
                        <c:v>-99.352673955460816</c:v>
                      </c:pt>
                      <c:pt idx="114">
                        <c:v>-99.389568248039708</c:v>
                      </c:pt>
                      <c:pt idx="115">
                        <c:v>-99.426853721326381</c:v>
                      </c:pt>
                      <c:pt idx="116">
                        <c:v>-99.464532540633499</c:v>
                      </c:pt>
                      <c:pt idx="117">
                        <c:v>-99.502606908971174</c:v>
                      </c:pt>
                      <c:pt idx="118">
                        <c:v>-99.541079067759156</c:v>
                      </c:pt>
                      <c:pt idx="119">
                        <c:v>-99.579951297557898</c:v>
                      </c:pt>
                      <c:pt idx="120">
                        <c:v>-99.619225918819026</c:v>
                      </c:pt>
                      <c:pt idx="121">
                        <c:v>-99.658905292656129</c:v>
                      </c:pt>
                      <c:pt idx="122">
                        <c:v>-99.698991821636014</c:v>
                      </c:pt>
                      <c:pt idx="123">
                        <c:v>-99.739487950591496</c:v>
                      </c:pt>
                      <c:pt idx="124">
                        <c:v>-99.780396167456232</c:v>
                      </c:pt>
                      <c:pt idx="125">
                        <c:v>-99.821719004122201</c:v>
                      </c:pt>
                      <c:pt idx="126">
                        <c:v>-99.863459037320752</c:v>
                      </c:pt>
                      <c:pt idx="127">
                        <c:v>-99.905618889527801</c:v>
                      </c:pt>
                      <c:pt idx="128">
                        <c:v>-99.948201229894082</c:v>
                      </c:pt>
                      <c:pt idx="129">
                        <c:v>-99.991208775201159</c:v>
                      </c:pt>
                      <c:pt idx="130">
                        <c:v>-100.0346442908442</c:v>
                      </c:pt>
                      <c:pt idx="131">
                        <c:v>-100.0785105918421</c:v>
                      </c:pt>
                      <c:pt idx="132">
                        <c:v>-100.12281054387626</c:v>
                      </c:pt>
                      <c:pt idx="133">
                        <c:v>-100.16754706435857</c:v>
                      </c:pt>
                      <c:pt idx="134">
                        <c:v>-100.21272312352988</c:v>
                      </c:pt>
                      <c:pt idx="135">
                        <c:v>-100.25834174558979</c:v>
                      </c:pt>
                      <c:pt idx="136">
                        <c:v>-100.30440600985889</c:v>
                      </c:pt>
                      <c:pt idx="137">
                        <c:v>-100.35091905197467</c:v>
                      </c:pt>
                      <c:pt idx="138">
                        <c:v>-100.39788406512194</c:v>
                      </c:pt>
                      <c:pt idx="139">
                        <c:v>-100.44530430129929</c:v>
                      </c:pt>
                      <c:pt idx="140">
                        <c:v>-100.49318307262268</c:v>
                      </c:pt>
                      <c:pt idx="141">
                        <c:v>-100.54152375266744</c:v>
                      </c:pt>
                      <c:pt idx="142">
                        <c:v>-100.59032977785002</c:v>
                      </c:pt>
                      <c:pt idx="143">
                        <c:v>-100.63960464885101</c:v>
                      </c:pt>
                      <c:pt idx="144">
                        <c:v>-100.68935193208073</c:v>
                      </c:pt>
                      <c:pt idx="145">
                        <c:v>-100.73957526118913</c:v>
                      </c:pt>
                      <c:pt idx="146">
                        <c:v>-100.79027833862129</c:v>
                      </c:pt>
                      <c:pt idx="147">
                        <c:v>-100.84146493722047</c:v>
                      </c:pt>
                      <c:pt idx="148">
                        <c:v>-100.89313890188022</c:v>
                      </c:pt>
                      <c:pt idx="149">
                        <c:v>-100.94530415124757</c:v>
                      </c:pt>
                      <c:pt idx="150">
                        <c:v>-100.99796467947888</c:v>
                      </c:pt>
                      <c:pt idx="151">
                        <c:v>-101.05112455805062</c:v>
                      </c:pt>
                      <c:pt idx="152">
                        <c:v>-101.10478793762691</c:v>
                      </c:pt>
                      <c:pt idx="153">
                        <c:v>-101.15895904998612</c:v>
                      </c:pt>
                      <c:pt idx="154">
                        <c:v>-101.21364221000854</c:v>
                      </c:pt>
                      <c:pt idx="155">
                        <c:v>-101.26884181772775</c:v>
                      </c:pt>
                      <c:pt idx="156">
                        <c:v>-101.32456236044777</c:v>
                      </c:pt>
                      <c:pt idx="157">
                        <c:v>-101.38080841492898</c:v>
                      </c:pt>
                      <c:pt idx="158">
                        <c:v>-101.43758464964499</c:v>
                      </c:pt>
                      <c:pt idx="159">
                        <c:v>-101.49489582711355</c:v>
                      </c:pt>
                      <c:pt idx="160">
                        <c:v>-101.55274680630444</c:v>
                      </c:pt>
                      <c:pt idx="161">
                        <c:v>-101.61114254512712</c:v>
                      </c:pt>
                      <c:pt idx="162">
                        <c:v>-101.67008810300156</c:v>
                      </c:pt>
                      <c:pt idx="163">
                        <c:v>-101.72958864351557</c:v>
                      </c:pt>
                      <c:pt idx="164">
                        <c:v>-101.78964943717202</c:v>
                      </c:pt>
                      <c:pt idx="165">
                        <c:v>-101.85027586422964</c:v>
                      </c:pt>
                      <c:pt idx="166">
                        <c:v>-101.91147341764135</c:v>
                      </c:pt>
                      <c:pt idx="167">
                        <c:v>-101.973247706094</c:v>
                      </c:pt>
                      <c:pt idx="168">
                        <c:v>-102.03560445715382</c:v>
                      </c:pt>
                      <c:pt idx="169">
                        <c:v>-102.09854952052203</c:v>
                      </c:pt>
                      <c:pt idx="170">
                        <c:v>-102.16208887140507</c:v>
                      </c:pt>
                      <c:pt idx="171">
                        <c:v>-102.22622861400473</c:v>
                      </c:pt>
                      <c:pt idx="172">
                        <c:v>-102.29097498513272</c:v>
                      </c:pt>
                      <c:pt idx="173">
                        <c:v>-102.35633435795565</c:v>
                      </c:pt>
                      <c:pt idx="174">
                        <c:v>-102.42231324587559</c:v>
                      </c:pt>
                      <c:pt idx="175">
                        <c:v>-102.48891830655252</c:v>
                      </c:pt>
                      <c:pt idx="176">
                        <c:v>-102.5561563460746</c:v>
                      </c:pt>
                      <c:pt idx="177">
                        <c:v>-102.62403432328308</c:v>
                      </c:pt>
                      <c:pt idx="178">
                        <c:v>-102.69255935425859</c:v>
                      </c:pt>
                      <c:pt idx="179">
                        <c:v>-102.76173871697614</c:v>
                      </c:pt>
                      <c:pt idx="180">
                        <c:v>-102.83157985613663</c:v>
                      </c:pt>
                      <c:pt idx="181">
                        <c:v>-102.90209038818259</c:v>
                      </c:pt>
                      <c:pt idx="182">
                        <c:v>-102.97327810650708</c:v>
                      </c:pt>
                      <c:pt idx="183">
                        <c:v>-103.04515098686439</c:v>
                      </c:pt>
                      <c:pt idx="184">
                        <c:v>-103.11771719299212</c:v>
                      </c:pt>
                      <c:pt idx="185">
                        <c:v>-103.19098508245467</c:v>
                      </c:pt>
                      <c:pt idx="186">
                        <c:v>-103.2649632127186</c:v>
                      </c:pt>
                      <c:pt idx="187">
                        <c:v>-103.33966034747093</c:v>
                      </c:pt>
                      <c:pt idx="188">
                        <c:v>-103.41508546319226</c:v>
                      </c:pt>
                      <c:pt idx="189">
                        <c:v>-103.49124775599701</c:v>
                      </c:pt>
                      <c:pt idx="190">
                        <c:v>-103.56815664875407</c:v>
                      </c:pt>
                      <c:pt idx="191">
                        <c:v>-103.6458217985015</c:v>
                      </c:pt>
                      <c:pt idx="192">
                        <c:v>-103.72425310417017</c:v>
                      </c:pt>
                      <c:pt idx="193">
                        <c:v>-103.80346071463197</c:v>
                      </c:pt>
                      <c:pt idx="194">
                        <c:v>-103.88345503708872</c:v>
                      </c:pt>
                      <c:pt idx="195">
                        <c:v>-103.96424674581981</c:v>
                      </c:pt>
                      <c:pt idx="196">
                        <c:v>-104.04584679130645</c:v>
                      </c:pt>
                      <c:pt idx="197">
                        <c:v>-104.12826640975285</c:v>
                      </c:pt>
                      <c:pt idx="198">
                        <c:v>-104.21151713302466</c:v>
                      </c:pt>
                      <c:pt idx="199">
                        <c:v>-104.29561079902707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169-4604-BD43-F47A4CB4DF59}"/>
                  </c:ext>
                </c:extLst>
              </c15:ser>
            </c15:filteredScatterSeries>
            <c15:filteredScatterSeries>
              <c15:ser>
                <c:idx val="5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Calculate!$H$1</c15:sqref>
                        </c15:formulaRef>
                      </c:ext>
                    </c:extLst>
                    <c:strCache>
                      <c:ptCount val="1"/>
                      <c:pt idx="0">
                        <c:v>Rx_PSD_us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Calculate!$H$2:$H$201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5169-4604-BD43-F47A4CB4DF59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Calculate!$I$1</c15:sqref>
                        </c15:formulaRef>
                      </c:ext>
                    </c:extLst>
                    <c:strCache>
                      <c:ptCount val="1"/>
                      <c:pt idx="0">
                        <c:v>Rx_PSD_ds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Calculate!$I$2:$I$201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169-4604-BD43-F47A4CB4DF59}"/>
                  </c:ext>
                </c:extLst>
              </c15:ser>
            </c15:filteredScatterSeries>
            <c15:filteredScatterSeries>
              <c15:ser>
                <c:idx val="9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Calculate!$L$1</c15:sqref>
                        </c15:formulaRef>
                      </c:ext>
                    </c:extLst>
                    <c:strCache>
                      <c:ptCount val="1"/>
                      <c:pt idx="0">
                        <c:v>Rx_echo_us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Calculate!$L$2:$L$201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169-4604-BD43-F47A4CB4DF59}"/>
                  </c:ext>
                </c:extLst>
              </c15:ser>
            </c15:filteredScatterSeries>
            <c15:filteredScatterSeries>
              <c15:ser>
                <c:idx val="10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Calculate!$M$1</c15:sqref>
                        </c15:formulaRef>
                      </c:ext>
                    </c:extLst>
                    <c:strCache>
                      <c:ptCount val="1"/>
                      <c:pt idx="0">
                        <c:v>Rx_echo_ds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Calculate!$M$2:$M$201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169-4604-BD43-F47A4CB4DF59}"/>
                  </c:ext>
                </c:extLst>
              </c15:ser>
            </c15:filteredScatterSeries>
            <c15:filteredScatterSeries>
              <c15:ser>
                <c:idx val="11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Calculate!$N$1</c15:sqref>
                        </c15:formulaRef>
                      </c:ext>
                    </c:extLst>
                    <c:strCache>
                      <c:ptCount val="1"/>
                      <c:pt idx="0">
                        <c:v>AFE_noise_us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Calculate!$N$2:$N$201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169-4604-BD43-F47A4CB4DF59}"/>
                  </c:ext>
                </c:extLst>
              </c15:ser>
            </c15:filteredScatterSeries>
            <c15:filteredScatterSeries>
              <c15:ser>
                <c:idx val="12"/>
                <c:order val="1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Calculate!$O$1</c15:sqref>
                        </c15:formulaRef>
                      </c:ext>
                    </c:extLst>
                    <c:strCache>
                      <c:ptCount val="1"/>
                      <c:pt idx="0">
                        <c:v>AFE_noise_ds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Calculate!$O$2:$O$201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169-4604-BD43-F47A4CB4DF59}"/>
                  </c:ext>
                </c:extLst>
              </c15:ser>
            </c15:filteredScatterSeries>
            <c15:filteredScatterSeries>
              <c15:ser>
                <c:idx val="13"/>
                <c:order val="1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Calculate!$P$1</c15:sqref>
                        </c15:formulaRef>
                      </c:ext>
                    </c:extLst>
                    <c:strCache>
                      <c:ptCount val="1"/>
                      <c:pt idx="0">
                        <c:v>EC_cancelation_us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Calculate!$P$2:$P$201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5169-4604-BD43-F47A4CB4DF59}"/>
                  </c:ext>
                </c:extLst>
              </c15:ser>
            </c15:filteredScatterSeries>
            <c15:filteredScatterSeries>
              <c15:ser>
                <c:idx val="14"/>
                <c:order val="1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Calculate!$Q$1</c15:sqref>
                        </c15:formulaRef>
                      </c:ext>
                    </c:extLst>
                    <c:strCache>
                      <c:ptCount val="1"/>
                      <c:pt idx="0">
                        <c:v>EC_cancelation_ds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Calculate!$Q$2:$Q$201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169-4604-BD43-F47A4CB4DF59}"/>
                  </c:ext>
                </c:extLst>
              </c15:ser>
            </c15:filteredScatterSeries>
            <c15:filteredScatterSeries>
              <c15:ser>
                <c:idx val="15"/>
                <c:order val="1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Calculate!$R$1</c15:sqref>
                        </c15:formulaRef>
                      </c:ext>
                    </c:extLst>
                    <c:strCache>
                      <c:ptCount val="1"/>
                      <c:pt idx="0">
                        <c:v>Echo_res_us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Calculate!$R$2:$R$201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169-4604-BD43-F47A4CB4DF59}"/>
                  </c:ext>
                </c:extLst>
              </c15:ser>
            </c15:filteredScatterSeries>
            <c15:filteredScatterSeries>
              <c15:ser>
                <c:idx val="17"/>
                <c:order val="1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Calculate!$S$1</c15:sqref>
                        </c15:formulaRef>
                      </c:ext>
                    </c:extLst>
                    <c:strCache>
                      <c:ptCount val="1"/>
                      <c:pt idx="0">
                        <c:v>Echo_res_ds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Calculate!$S$2:$S$201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5169-4604-BD43-F47A4CB4DF59}"/>
                  </c:ext>
                </c:extLst>
              </c15:ser>
            </c15:filteredScatterSeries>
            <c15:filteredScatterSeries>
              <c15:ser>
                <c:idx val="18"/>
                <c:order val="1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Calculate!$T$1</c15:sqref>
                        </c15:formulaRef>
                      </c:ext>
                    </c:extLst>
                    <c:strCache>
                      <c:ptCount val="1"/>
                      <c:pt idx="0">
                        <c:v>Linear_Noise_us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Calculate!$T$2:$T$201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1.3161341808459063E-14</c:v>
                      </c:pt>
                      <c:pt idx="1">
                        <c:v>1.3161022319006127E-14</c:v>
                      </c:pt>
                      <c:pt idx="2">
                        <c:v>1.3160489893985006E-14</c:v>
                      </c:pt>
                      <c:pt idx="3">
                        <c:v>1.3159744619483296E-14</c:v>
                      </c:pt>
                      <c:pt idx="4">
                        <c:v>1.3158786616001054E-14</c:v>
                      </c:pt>
                      <c:pt idx="5">
                        <c:v>1.3157616038416003E-14</c:v>
                      </c:pt>
                      <c:pt idx="6">
                        <c:v>1.3156233075962194E-14</c:v>
                      </c:pt>
                      <c:pt idx="7">
                        <c:v>1.3154637952173863E-14</c:v>
                      </c:pt>
                      <c:pt idx="8">
                        <c:v>1.31528309248563E-14</c:v>
                      </c:pt>
                      <c:pt idx="9">
                        <c:v>1.3150812286009583E-14</c:v>
                      </c:pt>
                      <c:pt idx="10">
                        <c:v>1.3148582361778317E-14</c:v>
                      </c:pt>
                      <c:pt idx="11">
                        <c:v>1.3146141512378092E-14</c:v>
                      </c:pt>
                      <c:pt idx="12">
                        <c:v>1.3143490132017058E-14</c:v>
                      </c:pt>
                      <c:pt idx="13">
                        <c:v>1.3140628648811657E-14</c:v>
                      </c:pt>
                      <c:pt idx="14">
                        <c:v>1.313755752469434E-14</c:v>
                      </c:pt>
                      <c:pt idx="15">
                        <c:v>1.3134277255308743E-14</c:v>
                      </c:pt>
                      <c:pt idx="16">
                        <c:v>1.3130788369904971E-14</c:v>
                      </c:pt>
                      <c:pt idx="17">
                        <c:v>1.3127091431227371E-14</c:v>
                      </c:pt>
                      <c:pt idx="18">
                        <c:v>1.3123187035403378E-14</c:v>
                      </c:pt>
                      <c:pt idx="19">
                        <c:v>1.3119075811784811E-14</c:v>
                      </c:pt>
                      <c:pt idx="20">
                        <c:v>1.3114758422836433E-14</c:v>
                      </c:pt>
                      <c:pt idx="21">
                        <c:v>1.3110235563994732E-14</c:v>
                      </c:pt>
                      <c:pt idx="22">
                        <c:v>1.3105507963500917E-14</c:v>
                      </c:pt>
                      <c:pt idx="23">
                        <c:v>1.3100576382256181E-14</c:v>
                      </c:pt>
                      <c:pt idx="24">
                        <c:v>1.3095441613639603E-14</c:v>
                      </c:pt>
                      <c:pt idx="25">
                        <c:v>1.3090104483374959E-14</c:v>
                      </c:pt>
                      <c:pt idx="26">
                        <c:v>1.3084565849315084E-14</c:v>
                      </c:pt>
                      <c:pt idx="27">
                        <c:v>1.3078826601255233E-14</c:v>
                      </c:pt>
                      <c:pt idx="28">
                        <c:v>1.3072887660801086E-14</c:v>
                      </c:pt>
                      <c:pt idx="29">
                        <c:v>1.3066749981062638E-14</c:v>
                      </c:pt>
                      <c:pt idx="30">
                        <c:v>1.3060414546562262E-14</c:v>
                      </c:pt>
                      <c:pt idx="31">
                        <c:v>1.3053882372954508E-14</c:v>
                      </c:pt>
                      <c:pt idx="32">
                        <c:v>1.3047154506802652E-14</c:v>
                      </c:pt>
                      <c:pt idx="33">
                        <c:v>1.3040232025413209E-14</c:v>
                      </c:pt>
                      <c:pt idx="34">
                        <c:v>1.3033116036534853E-14</c:v>
                      </c:pt>
                      <c:pt idx="35">
                        <c:v>1.3025807678165744E-14</c:v>
                      </c:pt>
                      <c:pt idx="36">
                        <c:v>1.3018308118293646E-14</c:v>
                      </c:pt>
                      <c:pt idx="37">
                        <c:v>1.3010618554656163E-14</c:v>
                      </c:pt>
                      <c:pt idx="38">
                        <c:v>1.3002740214433001E-14</c:v>
                      </c:pt>
                      <c:pt idx="39">
                        <c:v>1.299467435406505E-14</c:v>
                      </c:pt>
                      <c:pt idx="40">
                        <c:v>1.2986422258934704E-14</c:v>
                      </c:pt>
                      <c:pt idx="41">
                        <c:v>1.2977985243049618E-14</c:v>
                      </c:pt>
                      <c:pt idx="42">
                        <c:v>1.2969364648890274E-14</c:v>
                      </c:pt>
                      <c:pt idx="43">
                        <c:v>1.2960561846966471E-14</c:v>
                      </c:pt>
                      <c:pt idx="44">
                        <c:v>1.2951578235644302E-14</c:v>
                      </c:pt>
                      <c:pt idx="45">
                        <c:v>1.2942415240783435E-14</c:v>
                      </c:pt>
                      <c:pt idx="46">
                        <c:v>1.293307431544276E-14</c:v>
                      </c:pt>
                      <c:pt idx="47">
                        <c:v>1.2923556939577094E-14</c:v>
                      </c:pt>
                      <c:pt idx="48">
                        <c:v>1.2913864619722575E-14</c:v>
                      </c:pt>
                      <c:pt idx="49">
                        <c:v>1.290399888867381E-14</c:v>
                      </c:pt>
                      <c:pt idx="50">
                        <c:v>1.2893961305165344E-14</c:v>
                      </c:pt>
                      <c:pt idx="51">
                        <c:v>1.2883753453503202E-14</c:v>
                      </c:pt>
                      <c:pt idx="52">
                        <c:v>1.2873376943266751E-14</c:v>
                      </c:pt>
                      <c:pt idx="53">
                        <c:v>1.2862833408970954E-14</c:v>
                      </c:pt>
                      <c:pt idx="54">
                        <c:v>1.2852124509631144E-14</c:v>
                      </c:pt>
                      <c:pt idx="55">
                        <c:v>1.2841251928537299E-14</c:v>
                      </c:pt>
                      <c:pt idx="56">
                        <c:v>1.2830217372857006E-14</c:v>
                      </c:pt>
                      <c:pt idx="57">
                        <c:v>1.2819022573175534E-14</c:v>
                      </c:pt>
                      <c:pt idx="58">
                        <c:v>1.2807669283268588E-14</c:v>
                      </c:pt>
                      <c:pt idx="59">
                        <c:v>1.2796159279614919E-14</c:v>
                      </c:pt>
                      <c:pt idx="60">
                        <c:v>1.2784494361138549E-14</c:v>
                      </c:pt>
                      <c:pt idx="61">
                        <c:v>1.2772676348683418E-14</c:v>
                      </c:pt>
                      <c:pt idx="62">
                        <c:v>1.276070708475061E-14</c:v>
                      </c:pt>
                      <c:pt idx="63">
                        <c:v>1.2748588433080135E-14</c:v>
                      </c:pt>
                      <c:pt idx="64">
                        <c:v>1.2736322278165028E-14</c:v>
                      </c:pt>
                      <c:pt idx="65">
                        <c:v>1.2723910525016841E-14</c:v>
                      </c:pt>
                      <c:pt idx="66">
                        <c:v>1.2711355098621504E-14</c:v>
                      </c:pt>
                      <c:pt idx="67">
                        <c:v>1.2698657943605999E-14</c:v>
                      </c:pt>
                      <c:pt idx="68">
                        <c:v>1.268582102378204E-14</c:v>
                      </c:pt>
                      <c:pt idx="69">
                        <c:v>1.2672846321813432E-14</c:v>
                      </c:pt>
                      <c:pt idx="70">
                        <c:v>1.265973583868633E-14</c:v>
                      </c:pt>
                      <c:pt idx="71">
                        <c:v>1.2646491593388871E-14</c:v>
                      </c:pt>
                      <c:pt idx="72">
                        <c:v>1.2633115622460806E-14</c:v>
                      </c:pt>
                      <c:pt idx="73">
                        <c:v>1.2619609979502863E-14</c:v>
                      </c:pt>
                      <c:pt idx="74">
                        <c:v>1.2605976734826011E-14</c:v>
                      </c:pt>
                      <c:pt idx="75">
                        <c:v>1.2592217975032905E-14</c:v>
                      </c:pt>
                      <c:pt idx="76">
                        <c:v>1.2578335802455954E-14</c:v>
                      </c:pt>
                      <c:pt idx="77">
                        <c:v>1.2564332334845016E-14</c:v>
                      </c:pt>
                      <c:pt idx="78">
                        <c:v>1.255020970490022E-14</c:v>
                      </c:pt>
                      <c:pt idx="79">
                        <c:v>1.2535970059805756E-14</c:v>
                      </c:pt>
                      <c:pt idx="80">
                        <c:v>1.2521615560735536E-14</c:v>
                      </c:pt>
                      <c:pt idx="81">
                        <c:v>1.2507148382523253E-14</c:v>
                      </c:pt>
                      <c:pt idx="82">
                        <c:v>1.2492570713129563E-14</c:v>
                      </c:pt>
                      <c:pt idx="83">
                        <c:v>1.2477884753164075E-14</c:v>
                      </c:pt>
                      <c:pt idx="84">
                        <c:v>1.2463092715542008E-14</c:v>
                      </c:pt>
                      <c:pt idx="85">
                        <c:v>1.2448196824852204E-14</c:v>
                      </c:pt>
                      <c:pt idx="86">
                        <c:v>1.2433199317112684E-14</c:v>
                      </c:pt>
                      <c:pt idx="87">
                        <c:v>1.2418102439109299E-14</c:v>
                      </c:pt>
                      <c:pt idx="88">
                        <c:v>1.2402908448086703E-14</c:v>
                      </c:pt>
                      <c:pt idx="89">
                        <c:v>1.2387619611160593E-14</c:v>
                      </c:pt>
                      <c:pt idx="90">
                        <c:v>1.2372238204945219E-14</c:v>
                      </c:pt>
                      <c:pt idx="91">
                        <c:v>1.2356766515058338E-14</c:v>
                      </c:pt>
                      <c:pt idx="92">
                        <c:v>1.2341206835624419E-14</c:v>
                      </c:pt>
                      <c:pt idx="93">
                        <c:v>1.2325561468789291E-14</c:v>
                      </c:pt>
                      <c:pt idx="94">
                        <c:v>1.2309832724404913E-14</c:v>
                      </c:pt>
                      <c:pt idx="95">
                        <c:v>1.2294022919338907E-14</c:v>
                      </c:pt>
                      <c:pt idx="96">
                        <c:v>1.2278134377131425E-14</c:v>
                      </c:pt>
                      <c:pt idx="97">
                        <c:v>1.2262169427497492E-14</c:v>
                      </c:pt>
                      <c:pt idx="98">
                        <c:v>1.2246130405872567E-14</c:v>
                      </c:pt>
                      <c:pt idx="99">
                        <c:v>1.223001965291492E-14</c:v>
                      </c:pt>
                      <c:pt idx="100">
                        <c:v>1.2213839514015547E-14</c:v>
                      </c:pt>
                      <c:pt idx="101">
                        <c:v>1.2197592338892146E-14</c:v>
                      </c:pt>
                      <c:pt idx="102">
                        <c:v>1.2181280481023241E-14</c:v>
                      </c:pt>
                      <c:pt idx="103">
                        <c:v>1.2164906297258379E-14</c:v>
                      </c:pt>
                      <c:pt idx="104">
                        <c:v>1.2148472147293994E-14</c:v>
                      </c:pt>
                      <c:pt idx="105">
                        <c:v>1.2131980393242723E-14</c:v>
                      </c:pt>
                      <c:pt idx="106">
                        <c:v>1.2115433399090465E-14</c:v>
                      </c:pt>
                      <c:pt idx="107">
                        <c:v>1.2098833530281983E-14</c:v>
                      </c:pt>
                      <c:pt idx="108">
                        <c:v>1.2082183153249475E-14</c:v>
                      </c:pt>
                      <c:pt idx="109">
                        <c:v>1.2065484634966826E-14</c:v>
                      </c:pt>
                      <c:pt idx="110">
                        <c:v>1.2048740342356859E-14</c:v>
                      </c:pt>
                      <c:pt idx="111">
                        <c:v>1.2031952642018088E-14</c:v>
                      </c:pt>
                      <c:pt idx="112">
                        <c:v>1.2015123899480547E-14</c:v>
                      </c:pt>
                      <c:pt idx="113">
                        <c:v>1.1998256479084383E-14</c:v>
                      </c:pt>
                      <c:pt idx="114">
                        <c:v>1.1981352743238524E-14</c:v>
                      </c:pt>
                      <c:pt idx="115">
                        <c:v>1.1964415052100335E-14</c:v>
                      </c:pt>
                      <c:pt idx="116">
                        <c:v>1.1947445762997076E-14</c:v>
                      </c:pt>
                      <c:pt idx="117">
                        <c:v>1.1930447230140956E-14</c:v>
                      </c:pt>
                      <c:pt idx="118">
                        <c:v>1.1913421803956239E-14</c:v>
                      </c:pt>
                      <c:pt idx="119">
                        <c:v>1.1896371830821237E-14</c:v>
                      </c:pt>
                      <c:pt idx="120">
                        <c:v>1.1879299652500084E-14</c:v>
                      </c:pt>
                      <c:pt idx="121">
                        <c:v>1.1862207605661514E-14</c:v>
                      </c:pt>
                      <c:pt idx="122">
                        <c:v>1.1845098021546849E-14</c:v>
                      </c:pt>
                      <c:pt idx="123">
                        <c:v>1.1827973225435932E-14</c:v>
                      </c:pt>
                      <c:pt idx="124">
                        <c:v>1.1810835536191017E-14</c:v>
                      </c:pt>
                      <c:pt idx="125">
                        <c:v>1.1793687265899697E-14</c:v>
                      </c:pt>
                      <c:pt idx="126">
                        <c:v>1.1776530719311947E-14</c:v>
                      </c:pt>
                      <c:pt idx="127">
                        <c:v>1.1759368193540651E-14</c:v>
                      </c:pt>
                      <c:pt idx="128">
                        <c:v>1.1742201977469186E-14</c:v>
                      </c:pt>
                      <c:pt idx="129">
                        <c:v>1.1725034351448545E-14</c:v>
                      </c:pt>
                      <c:pt idx="130">
                        <c:v>1.1707867586840527E-14</c:v>
                      </c:pt>
                      <c:pt idx="131">
                        <c:v>1.1690703945510797E-14</c:v>
                      </c:pt>
                      <c:pt idx="132">
                        <c:v>1.1673545679509096E-14</c:v>
                      </c:pt>
                      <c:pt idx="133">
                        <c:v>1.1656395030615168E-14</c:v>
                      </c:pt>
                      <c:pt idx="134">
                        <c:v>1.1639254229896388E-14</c:v>
                      </c:pt>
                      <c:pt idx="135">
                        <c:v>1.1622125497267087E-14</c:v>
                      </c:pt>
                      <c:pt idx="136">
                        <c:v>1.1605011041197929E-14</c:v>
                      </c:pt>
                      <c:pt idx="137">
                        <c:v>1.1587913058164852E-14</c:v>
                      </c:pt>
                      <c:pt idx="138">
                        <c:v>1.1570833732388514E-14</c:v>
                      </c:pt>
                      <c:pt idx="139">
                        <c:v>1.1553775235289711E-14</c:v>
                      </c:pt>
                      <c:pt idx="140">
                        <c:v>1.153673972522231E-14</c:v>
                      </c:pt>
                      <c:pt idx="141">
                        <c:v>1.1519729347001332E-14</c:v>
                      </c:pt>
                      <c:pt idx="142">
                        <c:v>1.1502746231521456E-14</c:v>
                      </c:pt>
                      <c:pt idx="143">
                        <c:v>1.1485792495442063E-14</c:v>
                      </c:pt>
                      <c:pt idx="144">
                        <c:v>1.1468870240738519E-14</c:v>
                      </c:pt>
                      <c:pt idx="145">
                        <c:v>1.145198155433559E-14</c:v>
                      </c:pt>
                      <c:pt idx="146">
                        <c:v>1.1435128507803585E-14</c:v>
                      </c:pt>
                      <c:pt idx="147">
                        <c:v>1.1418313156863176E-14</c:v>
                      </c:pt>
                      <c:pt idx="148">
                        <c:v>1.1401537541202863E-14</c:v>
                      </c:pt>
                      <c:pt idx="149">
                        <c:v>1.1384803683959067E-14</c:v>
                      </c:pt>
                      <c:pt idx="150">
                        <c:v>1.1368113591425992E-14</c:v>
                      </c:pt>
                      <c:pt idx="151">
                        <c:v>1.1351469252761366E-14</c:v>
                      </c:pt>
                      <c:pt idx="152">
                        <c:v>1.133487263959088E-14</c:v>
                      </c:pt>
                      <c:pt idx="153">
                        <c:v>1.1318325705624942E-14</c:v>
                      </c:pt>
                      <c:pt idx="154">
                        <c:v>1.130183038644088E-14</c:v>
                      </c:pt>
                      <c:pt idx="155">
                        <c:v>1.1285388599082334E-14</c:v>
                      </c:pt>
                      <c:pt idx="156">
                        <c:v>1.126900224172327E-14</c:v>
                      </c:pt>
                      <c:pt idx="157">
                        <c:v>1.1252673193439482E-14</c:v>
                      </c:pt>
                      <c:pt idx="158">
                        <c:v>1.1236403313749242E-14</c:v>
                      </c:pt>
                      <c:pt idx="159">
                        <c:v>1.1220194442500837E-14</c:v>
                      </c:pt>
                      <c:pt idx="160">
                        <c:v>1.1204048399387221E-14</c:v>
                      </c:pt>
                      <c:pt idx="161">
                        <c:v>1.1187966983813821E-14</c:v>
                      </c:pt>
                      <c:pt idx="162">
                        <c:v>1.1171951974415854E-14</c:v>
                      </c:pt>
                      <c:pt idx="163">
                        <c:v>1.1156005129002834E-14</c:v>
                      </c:pt>
                      <c:pt idx="164">
                        <c:v>1.1140128184115435E-14</c:v>
                      </c:pt>
                      <c:pt idx="165">
                        <c:v>1.1124322854765686E-14</c:v>
                      </c:pt>
                      <c:pt idx="166">
                        <c:v>1.1108590834287692E-14</c:v>
                      </c:pt>
                      <c:pt idx="167">
                        <c:v>1.1092933793937895E-14</c:v>
                      </c:pt>
                      <c:pt idx="168">
                        <c:v>1.1077353382723811E-14</c:v>
                      </c:pt>
                      <c:pt idx="169">
                        <c:v>1.1061851227145105E-14</c:v>
                      </c:pt>
                      <c:pt idx="170">
                        <c:v>1.1046428930877092E-14</c:v>
                      </c:pt>
                      <c:pt idx="171">
                        <c:v>1.1031088074672489E-14</c:v>
                      </c:pt>
                      <c:pt idx="172">
                        <c:v>1.1015830215972663E-14</c:v>
                      </c:pt>
                      <c:pt idx="173">
                        <c:v>1.1000656888835803E-14</c:v>
                      </c:pt>
                      <c:pt idx="174">
                        <c:v>1.0985569603587487E-14</c:v>
                      </c:pt>
                      <c:pt idx="175">
                        <c:v>1.0970569846677076E-14</c:v>
                      </c:pt>
                      <c:pt idx="176">
                        <c:v>1.0955659080453226E-14</c:v>
                      </c:pt>
                      <c:pt idx="177">
                        <c:v>1.0940838743003647E-14</c:v>
                      </c:pt>
                      <c:pt idx="178">
                        <c:v>1.0926110247862489E-14</c:v>
                      </c:pt>
                      <c:pt idx="179">
                        <c:v>1.0911474983934848E-14</c:v>
                      </c:pt>
                      <c:pt idx="180">
                        <c:v>1.08969343152176E-14</c:v>
                      </c:pt>
                      <c:pt idx="181">
                        <c:v>1.0882489580721424E-14</c:v>
                      </c:pt>
                      <c:pt idx="182">
                        <c:v>1.0868142094237521E-14</c:v>
                      </c:pt>
                      <c:pt idx="183">
                        <c:v>1.0853893144146829E-14</c:v>
                      </c:pt>
                      <c:pt idx="184">
                        <c:v>1.0839743993347444E-14</c:v>
                      </c:pt>
                      <c:pt idx="185">
                        <c:v>1.0825695879042298E-14</c:v>
                      </c:pt>
                      <c:pt idx="186">
                        <c:v>1.0811750012639987E-14</c:v>
                      </c:pt>
                      <c:pt idx="187">
                        <c:v>1.0797907579558964E-14</c:v>
                      </c:pt>
                      <c:pt idx="188">
                        <c:v>1.0784169739169282E-14</c:v>
                      </c:pt>
                      <c:pt idx="189">
                        <c:v>1.0770537624580174E-14</c:v>
                      </c:pt>
                      <c:pt idx="190">
                        <c:v>1.0757012342618114E-14</c:v>
                      </c:pt>
                      <c:pt idx="191">
                        <c:v>1.0743594973643821E-14</c:v>
                      </c:pt>
                      <c:pt idx="192">
                        <c:v>1.0730286571511441E-14</c:v>
                      </c:pt>
                      <c:pt idx="193">
                        <c:v>1.071708816336972E-14</c:v>
                      </c:pt>
                      <c:pt idx="194">
                        <c:v>1.0704000749695885E-14</c:v>
                      </c:pt>
                      <c:pt idx="195">
                        <c:v>1.0691025304102895E-14</c:v>
                      </c:pt>
                      <c:pt idx="196">
                        <c:v>1.0678162773355831E-14</c:v>
                      </c:pt>
                      <c:pt idx="197">
                        <c:v>1.066541407719359E-14</c:v>
                      </c:pt>
                      <c:pt idx="198">
                        <c:v>1.065278010834145E-14</c:v>
                      </c:pt>
                      <c:pt idx="199">
                        <c:v>1.0640261732458092E-14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5169-4604-BD43-F47A4CB4DF59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Calculate!$U$1</c15:sqref>
                        </c15:formulaRef>
                      </c:ext>
                    </c:extLst>
                    <c:strCache>
                      <c:ptCount val="1"/>
                      <c:pt idx="0">
                        <c:v>Linear_Noise_ds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Calculate!$U$2:$U$201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1.3161341808459063E-14</c:v>
                      </c:pt>
                      <c:pt idx="1">
                        <c:v>1.3161022319006127E-14</c:v>
                      </c:pt>
                      <c:pt idx="2">
                        <c:v>1.3160489893985006E-14</c:v>
                      </c:pt>
                      <c:pt idx="3">
                        <c:v>1.3159744619483296E-14</c:v>
                      </c:pt>
                      <c:pt idx="4">
                        <c:v>1.3158786616001054E-14</c:v>
                      </c:pt>
                      <c:pt idx="5">
                        <c:v>1.3157616038416003E-14</c:v>
                      </c:pt>
                      <c:pt idx="6">
                        <c:v>1.3156233075962194E-14</c:v>
                      </c:pt>
                      <c:pt idx="7">
                        <c:v>1.3154637952173863E-14</c:v>
                      </c:pt>
                      <c:pt idx="8">
                        <c:v>1.31528309248563E-14</c:v>
                      </c:pt>
                      <c:pt idx="9">
                        <c:v>1.3150812286009583E-14</c:v>
                      </c:pt>
                      <c:pt idx="10">
                        <c:v>1.3148582361778317E-14</c:v>
                      </c:pt>
                      <c:pt idx="11">
                        <c:v>1.3146141512378092E-14</c:v>
                      </c:pt>
                      <c:pt idx="12">
                        <c:v>1.3143490132017058E-14</c:v>
                      </c:pt>
                      <c:pt idx="13">
                        <c:v>1.3140628648811657E-14</c:v>
                      </c:pt>
                      <c:pt idx="14">
                        <c:v>1.313755752469434E-14</c:v>
                      </c:pt>
                      <c:pt idx="15">
                        <c:v>1.3134277255308743E-14</c:v>
                      </c:pt>
                      <c:pt idx="16">
                        <c:v>1.3130788369904971E-14</c:v>
                      </c:pt>
                      <c:pt idx="17">
                        <c:v>1.3127091431227371E-14</c:v>
                      </c:pt>
                      <c:pt idx="18">
                        <c:v>1.3123187035403378E-14</c:v>
                      </c:pt>
                      <c:pt idx="19">
                        <c:v>1.3119075811784811E-14</c:v>
                      </c:pt>
                      <c:pt idx="20">
                        <c:v>1.3114758422836433E-14</c:v>
                      </c:pt>
                      <c:pt idx="21">
                        <c:v>1.3110235563994732E-14</c:v>
                      </c:pt>
                      <c:pt idx="22">
                        <c:v>1.3105507963500917E-14</c:v>
                      </c:pt>
                      <c:pt idx="23">
                        <c:v>1.3100576382256181E-14</c:v>
                      </c:pt>
                      <c:pt idx="24">
                        <c:v>1.3095441613639603E-14</c:v>
                      </c:pt>
                      <c:pt idx="25">
                        <c:v>1.3090104483374959E-14</c:v>
                      </c:pt>
                      <c:pt idx="26">
                        <c:v>1.3084565849315084E-14</c:v>
                      </c:pt>
                      <c:pt idx="27">
                        <c:v>1.3078826601255233E-14</c:v>
                      </c:pt>
                      <c:pt idx="28">
                        <c:v>1.3072887660801086E-14</c:v>
                      </c:pt>
                      <c:pt idx="29">
                        <c:v>1.3066749981062638E-14</c:v>
                      </c:pt>
                      <c:pt idx="30">
                        <c:v>1.3060414546562262E-14</c:v>
                      </c:pt>
                      <c:pt idx="31">
                        <c:v>1.3053882372954508E-14</c:v>
                      </c:pt>
                      <c:pt idx="32">
                        <c:v>1.3047154506802652E-14</c:v>
                      </c:pt>
                      <c:pt idx="33">
                        <c:v>1.3040232025413209E-14</c:v>
                      </c:pt>
                      <c:pt idx="34">
                        <c:v>1.3033116036534853E-14</c:v>
                      </c:pt>
                      <c:pt idx="35">
                        <c:v>1.3025807678165744E-14</c:v>
                      </c:pt>
                      <c:pt idx="36">
                        <c:v>1.3018308118293646E-14</c:v>
                      </c:pt>
                      <c:pt idx="37">
                        <c:v>1.3010618554656163E-14</c:v>
                      </c:pt>
                      <c:pt idx="38">
                        <c:v>1.3002740214433001E-14</c:v>
                      </c:pt>
                      <c:pt idx="39">
                        <c:v>1.299467435406505E-14</c:v>
                      </c:pt>
                      <c:pt idx="40">
                        <c:v>1.2986422258934704E-14</c:v>
                      </c:pt>
                      <c:pt idx="41">
                        <c:v>1.2977985243049618E-14</c:v>
                      </c:pt>
                      <c:pt idx="42">
                        <c:v>1.2969364648890274E-14</c:v>
                      </c:pt>
                      <c:pt idx="43">
                        <c:v>1.2960561846966471E-14</c:v>
                      </c:pt>
                      <c:pt idx="44">
                        <c:v>1.2951578235644302E-14</c:v>
                      </c:pt>
                      <c:pt idx="45">
                        <c:v>1.2942415240783435E-14</c:v>
                      </c:pt>
                      <c:pt idx="46">
                        <c:v>1.293307431544276E-14</c:v>
                      </c:pt>
                      <c:pt idx="47">
                        <c:v>1.2923556939577094E-14</c:v>
                      </c:pt>
                      <c:pt idx="48">
                        <c:v>1.2913864619722575E-14</c:v>
                      </c:pt>
                      <c:pt idx="49">
                        <c:v>1.290399888867381E-14</c:v>
                      </c:pt>
                      <c:pt idx="50">
                        <c:v>1.2893961305165344E-14</c:v>
                      </c:pt>
                      <c:pt idx="51">
                        <c:v>1.2883753453503202E-14</c:v>
                      </c:pt>
                      <c:pt idx="52">
                        <c:v>1.2873376943266751E-14</c:v>
                      </c:pt>
                      <c:pt idx="53">
                        <c:v>1.2862833408970954E-14</c:v>
                      </c:pt>
                      <c:pt idx="54">
                        <c:v>1.2852124509631144E-14</c:v>
                      </c:pt>
                      <c:pt idx="55">
                        <c:v>1.2841251928537299E-14</c:v>
                      </c:pt>
                      <c:pt idx="56">
                        <c:v>1.2830217372857006E-14</c:v>
                      </c:pt>
                      <c:pt idx="57">
                        <c:v>1.2819022573175534E-14</c:v>
                      </c:pt>
                      <c:pt idx="58">
                        <c:v>1.2807669283268588E-14</c:v>
                      </c:pt>
                      <c:pt idx="59">
                        <c:v>1.2796159279614919E-14</c:v>
                      </c:pt>
                      <c:pt idx="60">
                        <c:v>1.2784494361138549E-14</c:v>
                      </c:pt>
                      <c:pt idx="61">
                        <c:v>1.2772676348683418E-14</c:v>
                      </c:pt>
                      <c:pt idx="62">
                        <c:v>1.276070708475061E-14</c:v>
                      </c:pt>
                      <c:pt idx="63">
                        <c:v>1.2748588433080135E-14</c:v>
                      </c:pt>
                      <c:pt idx="64">
                        <c:v>1.2736322278165028E-14</c:v>
                      </c:pt>
                      <c:pt idx="65">
                        <c:v>1.2723910525016841E-14</c:v>
                      </c:pt>
                      <c:pt idx="66">
                        <c:v>1.2711355098621504E-14</c:v>
                      </c:pt>
                      <c:pt idx="67">
                        <c:v>1.2698657943605999E-14</c:v>
                      </c:pt>
                      <c:pt idx="68">
                        <c:v>1.268582102378204E-14</c:v>
                      </c:pt>
                      <c:pt idx="69">
                        <c:v>1.2672846321813432E-14</c:v>
                      </c:pt>
                      <c:pt idx="70">
                        <c:v>1.265973583868633E-14</c:v>
                      </c:pt>
                      <c:pt idx="71">
                        <c:v>1.2646491593388871E-14</c:v>
                      </c:pt>
                      <c:pt idx="72">
                        <c:v>1.2633115622460806E-14</c:v>
                      </c:pt>
                      <c:pt idx="73">
                        <c:v>1.2619609979502863E-14</c:v>
                      </c:pt>
                      <c:pt idx="74">
                        <c:v>1.2605976734826011E-14</c:v>
                      </c:pt>
                      <c:pt idx="75">
                        <c:v>1.2592217975032905E-14</c:v>
                      </c:pt>
                      <c:pt idx="76">
                        <c:v>1.2578335802455954E-14</c:v>
                      </c:pt>
                      <c:pt idx="77">
                        <c:v>1.2564332334845016E-14</c:v>
                      </c:pt>
                      <c:pt idx="78">
                        <c:v>1.255020970490022E-14</c:v>
                      </c:pt>
                      <c:pt idx="79">
                        <c:v>1.2535970059805756E-14</c:v>
                      </c:pt>
                      <c:pt idx="80">
                        <c:v>1.2521615560735536E-14</c:v>
                      </c:pt>
                      <c:pt idx="81">
                        <c:v>1.2507148382523253E-14</c:v>
                      </c:pt>
                      <c:pt idx="82">
                        <c:v>1.2492570713129563E-14</c:v>
                      </c:pt>
                      <c:pt idx="83">
                        <c:v>1.2477884753164075E-14</c:v>
                      </c:pt>
                      <c:pt idx="84">
                        <c:v>1.2463092715542008E-14</c:v>
                      </c:pt>
                      <c:pt idx="85">
                        <c:v>1.2448196824852204E-14</c:v>
                      </c:pt>
                      <c:pt idx="86">
                        <c:v>1.2433199317112684E-14</c:v>
                      </c:pt>
                      <c:pt idx="87">
                        <c:v>1.2418102439109299E-14</c:v>
                      </c:pt>
                      <c:pt idx="88">
                        <c:v>1.2402908448086703E-14</c:v>
                      </c:pt>
                      <c:pt idx="89">
                        <c:v>1.2387619611160593E-14</c:v>
                      </c:pt>
                      <c:pt idx="90">
                        <c:v>1.2372238204945219E-14</c:v>
                      </c:pt>
                      <c:pt idx="91">
                        <c:v>1.2356766515058338E-14</c:v>
                      </c:pt>
                      <c:pt idx="92">
                        <c:v>1.2341206835624419E-14</c:v>
                      </c:pt>
                      <c:pt idx="93">
                        <c:v>1.2325561468789291E-14</c:v>
                      </c:pt>
                      <c:pt idx="94">
                        <c:v>1.2309832724404913E-14</c:v>
                      </c:pt>
                      <c:pt idx="95">
                        <c:v>1.2294022919338907E-14</c:v>
                      </c:pt>
                      <c:pt idx="96">
                        <c:v>1.2278134377131425E-14</c:v>
                      </c:pt>
                      <c:pt idx="97">
                        <c:v>1.2262169427497492E-14</c:v>
                      </c:pt>
                      <c:pt idx="98">
                        <c:v>1.2246130405872567E-14</c:v>
                      </c:pt>
                      <c:pt idx="99">
                        <c:v>1.223001965291492E-14</c:v>
                      </c:pt>
                      <c:pt idx="100">
                        <c:v>1.2213839514015547E-14</c:v>
                      </c:pt>
                      <c:pt idx="101">
                        <c:v>1.2197592338892146E-14</c:v>
                      </c:pt>
                      <c:pt idx="102">
                        <c:v>1.2181280481023241E-14</c:v>
                      </c:pt>
                      <c:pt idx="103">
                        <c:v>1.2164906297258379E-14</c:v>
                      </c:pt>
                      <c:pt idx="104">
                        <c:v>1.2148472147293994E-14</c:v>
                      </c:pt>
                      <c:pt idx="105">
                        <c:v>1.2131980393242723E-14</c:v>
                      </c:pt>
                      <c:pt idx="106">
                        <c:v>1.2115433399090465E-14</c:v>
                      </c:pt>
                      <c:pt idx="107">
                        <c:v>1.2098833530281983E-14</c:v>
                      </c:pt>
                      <c:pt idx="108">
                        <c:v>1.2082183153249475E-14</c:v>
                      </c:pt>
                      <c:pt idx="109">
                        <c:v>1.2065484634966826E-14</c:v>
                      </c:pt>
                      <c:pt idx="110">
                        <c:v>1.2048740342356859E-14</c:v>
                      </c:pt>
                      <c:pt idx="111">
                        <c:v>1.2031952642018088E-14</c:v>
                      </c:pt>
                      <c:pt idx="112">
                        <c:v>1.2015123899480547E-14</c:v>
                      </c:pt>
                      <c:pt idx="113">
                        <c:v>1.1998256479084383E-14</c:v>
                      </c:pt>
                      <c:pt idx="114">
                        <c:v>1.1981352743238524E-14</c:v>
                      </c:pt>
                      <c:pt idx="115">
                        <c:v>1.1964415052100335E-14</c:v>
                      </c:pt>
                      <c:pt idx="116">
                        <c:v>1.1947445762997076E-14</c:v>
                      </c:pt>
                      <c:pt idx="117">
                        <c:v>1.1930447230140956E-14</c:v>
                      </c:pt>
                      <c:pt idx="118">
                        <c:v>1.1913421803956239E-14</c:v>
                      </c:pt>
                      <c:pt idx="119">
                        <c:v>1.1896371830821237E-14</c:v>
                      </c:pt>
                      <c:pt idx="120">
                        <c:v>1.1879299652500084E-14</c:v>
                      </c:pt>
                      <c:pt idx="121">
                        <c:v>1.1862207605661514E-14</c:v>
                      </c:pt>
                      <c:pt idx="122">
                        <c:v>1.1845098021546849E-14</c:v>
                      </c:pt>
                      <c:pt idx="123">
                        <c:v>1.1827973225435932E-14</c:v>
                      </c:pt>
                      <c:pt idx="124">
                        <c:v>1.1810835536191017E-14</c:v>
                      </c:pt>
                      <c:pt idx="125">
                        <c:v>1.1793687265899697E-14</c:v>
                      </c:pt>
                      <c:pt idx="126">
                        <c:v>1.1776530719311947E-14</c:v>
                      </c:pt>
                      <c:pt idx="127">
                        <c:v>1.1759368193540651E-14</c:v>
                      </c:pt>
                      <c:pt idx="128">
                        <c:v>1.1742201977469186E-14</c:v>
                      </c:pt>
                      <c:pt idx="129">
                        <c:v>1.1725034351448545E-14</c:v>
                      </c:pt>
                      <c:pt idx="130">
                        <c:v>1.1707867586840527E-14</c:v>
                      </c:pt>
                      <c:pt idx="131">
                        <c:v>1.1690703945510797E-14</c:v>
                      </c:pt>
                      <c:pt idx="132">
                        <c:v>1.1673545679509096E-14</c:v>
                      </c:pt>
                      <c:pt idx="133">
                        <c:v>1.1656395030615168E-14</c:v>
                      </c:pt>
                      <c:pt idx="134">
                        <c:v>1.1639254229896388E-14</c:v>
                      </c:pt>
                      <c:pt idx="135">
                        <c:v>1.1622125497267087E-14</c:v>
                      </c:pt>
                      <c:pt idx="136">
                        <c:v>1.1605011041197929E-14</c:v>
                      </c:pt>
                      <c:pt idx="137">
                        <c:v>1.1587913058164852E-14</c:v>
                      </c:pt>
                      <c:pt idx="138">
                        <c:v>1.1570833732388514E-14</c:v>
                      </c:pt>
                      <c:pt idx="139">
                        <c:v>1.1553775235289711E-14</c:v>
                      </c:pt>
                      <c:pt idx="140">
                        <c:v>1.153673972522231E-14</c:v>
                      </c:pt>
                      <c:pt idx="141">
                        <c:v>1.1519729347001332E-14</c:v>
                      </c:pt>
                      <c:pt idx="142">
                        <c:v>1.1502746231521456E-14</c:v>
                      </c:pt>
                      <c:pt idx="143">
                        <c:v>1.1485792495442063E-14</c:v>
                      </c:pt>
                      <c:pt idx="144">
                        <c:v>1.1468870240738519E-14</c:v>
                      </c:pt>
                      <c:pt idx="145">
                        <c:v>1.145198155433559E-14</c:v>
                      </c:pt>
                      <c:pt idx="146">
                        <c:v>1.1435128507803585E-14</c:v>
                      </c:pt>
                      <c:pt idx="147">
                        <c:v>1.1418313156863176E-14</c:v>
                      </c:pt>
                      <c:pt idx="148">
                        <c:v>1.1401537541202863E-14</c:v>
                      </c:pt>
                      <c:pt idx="149">
                        <c:v>1.1384803683959067E-14</c:v>
                      </c:pt>
                      <c:pt idx="150">
                        <c:v>1.1368113591425992E-14</c:v>
                      </c:pt>
                      <c:pt idx="151">
                        <c:v>1.1351469252761366E-14</c:v>
                      </c:pt>
                      <c:pt idx="152">
                        <c:v>1.133487263959088E-14</c:v>
                      </c:pt>
                      <c:pt idx="153">
                        <c:v>1.1318325705624942E-14</c:v>
                      </c:pt>
                      <c:pt idx="154">
                        <c:v>1.130183038644088E-14</c:v>
                      </c:pt>
                      <c:pt idx="155">
                        <c:v>1.1285388599082334E-14</c:v>
                      </c:pt>
                      <c:pt idx="156">
                        <c:v>1.126900224172327E-14</c:v>
                      </c:pt>
                      <c:pt idx="157">
                        <c:v>1.1252673193439482E-14</c:v>
                      </c:pt>
                      <c:pt idx="158">
                        <c:v>1.1236403313749242E-14</c:v>
                      </c:pt>
                      <c:pt idx="159">
                        <c:v>1.1220194442500837E-14</c:v>
                      </c:pt>
                      <c:pt idx="160">
                        <c:v>1.1204048399387221E-14</c:v>
                      </c:pt>
                      <c:pt idx="161">
                        <c:v>1.1187966983813821E-14</c:v>
                      </c:pt>
                      <c:pt idx="162">
                        <c:v>1.1171951974415854E-14</c:v>
                      </c:pt>
                      <c:pt idx="163">
                        <c:v>1.1156005129002834E-14</c:v>
                      </c:pt>
                      <c:pt idx="164">
                        <c:v>1.1140128184115435E-14</c:v>
                      </c:pt>
                      <c:pt idx="165">
                        <c:v>1.1124322854765686E-14</c:v>
                      </c:pt>
                      <c:pt idx="166">
                        <c:v>1.1108590834287692E-14</c:v>
                      </c:pt>
                      <c:pt idx="167">
                        <c:v>1.1092933793937895E-14</c:v>
                      </c:pt>
                      <c:pt idx="168">
                        <c:v>1.1077353382723811E-14</c:v>
                      </c:pt>
                      <c:pt idx="169">
                        <c:v>1.1061851227145105E-14</c:v>
                      </c:pt>
                      <c:pt idx="170">
                        <c:v>1.1046428930877092E-14</c:v>
                      </c:pt>
                      <c:pt idx="171">
                        <c:v>1.1031088074672489E-14</c:v>
                      </c:pt>
                      <c:pt idx="172">
                        <c:v>1.1015830215972663E-14</c:v>
                      </c:pt>
                      <c:pt idx="173">
                        <c:v>1.1000656888835803E-14</c:v>
                      </c:pt>
                      <c:pt idx="174">
                        <c:v>1.0985569603587487E-14</c:v>
                      </c:pt>
                      <c:pt idx="175">
                        <c:v>1.0970569846677076E-14</c:v>
                      </c:pt>
                      <c:pt idx="176">
                        <c:v>1.0955659080453226E-14</c:v>
                      </c:pt>
                      <c:pt idx="177">
                        <c:v>1.0940838743003647E-14</c:v>
                      </c:pt>
                      <c:pt idx="178">
                        <c:v>1.0926110247862489E-14</c:v>
                      </c:pt>
                      <c:pt idx="179">
                        <c:v>1.0911474983934848E-14</c:v>
                      </c:pt>
                      <c:pt idx="180">
                        <c:v>1.08969343152176E-14</c:v>
                      </c:pt>
                      <c:pt idx="181">
                        <c:v>1.0882489580721424E-14</c:v>
                      </c:pt>
                      <c:pt idx="182">
                        <c:v>1.0868142094237521E-14</c:v>
                      </c:pt>
                      <c:pt idx="183">
                        <c:v>1.0853893144146829E-14</c:v>
                      </c:pt>
                      <c:pt idx="184">
                        <c:v>1.0839743993347444E-14</c:v>
                      </c:pt>
                      <c:pt idx="185">
                        <c:v>1.0825695879042298E-14</c:v>
                      </c:pt>
                      <c:pt idx="186">
                        <c:v>1.0811750012639987E-14</c:v>
                      </c:pt>
                      <c:pt idx="187">
                        <c:v>1.0797907579558964E-14</c:v>
                      </c:pt>
                      <c:pt idx="188">
                        <c:v>1.0784169739169282E-14</c:v>
                      </c:pt>
                      <c:pt idx="189">
                        <c:v>1.0770537624580174E-14</c:v>
                      </c:pt>
                      <c:pt idx="190">
                        <c:v>1.0757012342618114E-14</c:v>
                      </c:pt>
                      <c:pt idx="191">
                        <c:v>1.0743594973643821E-14</c:v>
                      </c:pt>
                      <c:pt idx="192">
                        <c:v>1.0730286571511441E-14</c:v>
                      </c:pt>
                      <c:pt idx="193">
                        <c:v>1.071708816336972E-14</c:v>
                      </c:pt>
                      <c:pt idx="194">
                        <c:v>1.0704000749695885E-14</c:v>
                      </c:pt>
                      <c:pt idx="195">
                        <c:v>1.0691025304102895E-14</c:v>
                      </c:pt>
                      <c:pt idx="196">
                        <c:v>1.0678162773355831E-14</c:v>
                      </c:pt>
                      <c:pt idx="197">
                        <c:v>1.066541407719359E-14</c:v>
                      </c:pt>
                      <c:pt idx="198">
                        <c:v>1.065278010834145E-14</c:v>
                      </c:pt>
                      <c:pt idx="199">
                        <c:v>1.0640261732458092E-14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5169-4604-BD43-F47A4CB4DF59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Calculate!$V$1</c15:sqref>
                        </c15:formulaRef>
                      </c:ext>
                    </c:extLst>
                    <c:strCache>
                      <c:ptCount val="1"/>
                      <c:pt idx="0">
                        <c:v>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Calculate!$V$2:$V$201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5169-4604-BD43-F47A4CB4DF59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Calculate!$W$1</c15:sqref>
                        </c15:formulaRef>
                      </c:ext>
                    </c:extLst>
                    <c:strCache>
                      <c:ptCount val="1"/>
                      <c:pt idx="0">
                        <c:v>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Calculate!$W$2:$W$201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5169-4604-BD43-F47A4CB4DF59}"/>
                  </c:ext>
                </c:extLst>
              </c15:ser>
            </c15:filteredScatterSeries>
            <c15:filteredScatterSeries>
              <c15:ser>
                <c:idx val="22"/>
                <c:order val="2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Calculate!$X$1</c15:sqref>
                        </c15:formulaRef>
                      </c:ext>
                    </c:extLst>
                    <c:strCache>
                      <c:ptCount val="1"/>
                      <c:pt idx="0">
                        <c:v>SNRdB_us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Calculate!$X$2:$X$201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872C-42CB-8F0A-688A770DCC7F}"/>
                  </c:ext>
                </c:extLst>
              </c15:ser>
            </c15:filteredScatterSeries>
            <c15:filteredScatterSeries>
              <c15:ser>
                <c:idx val="23"/>
                <c:order val="2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Calculate!$Y$1</c15:sqref>
                        </c15:formulaRef>
                      </c:ext>
                    </c:extLst>
                    <c:strCache>
                      <c:ptCount val="1"/>
                      <c:pt idx="0">
                        <c:v>SNRdB_ds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Calculate!$Y$2:$Y$201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61E2-4FE2-B976-F91CEBAF4C28}"/>
                  </c:ext>
                </c:extLst>
              </c15:ser>
            </c15:filteredScatterSeries>
            <c15:filteredScatterSeries>
              <c15:ser>
                <c:idx val="24"/>
                <c:order val="2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Calculate!$Z$1</c15:sqref>
                        </c15:formulaRef>
                      </c:ext>
                    </c:extLst>
                    <c:strCache>
                      <c:ptCount val="1"/>
                      <c:pt idx="0">
                        <c:v>SNR_us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Calculate!$Z$2:$Z$201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E2-4FE2-B976-F91CEBAF4C28}"/>
                  </c:ext>
                </c:extLst>
              </c15:ser>
            </c15:filteredScatterSeries>
            <c15:filteredScatterSeries>
              <c15:ser>
                <c:idx val="25"/>
                <c:order val="2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Calculate!$AA$1</c15:sqref>
                        </c15:formulaRef>
                      </c:ext>
                    </c:extLst>
                    <c:strCache>
                      <c:ptCount val="1"/>
                      <c:pt idx="0">
                        <c:v>SNR_ds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  <a:lumOff val="4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Calculate!$AA$2:$AA$201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E2-4FE2-B976-F91CEBAF4C28}"/>
                  </c:ext>
                </c:extLst>
              </c15:ser>
            </c15:filteredScatterSeries>
          </c:ext>
        </c:extLst>
      </c:scatterChart>
      <c:valAx>
        <c:axId val="93252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-#,##0" sourceLinked="0"/>
        <c:majorTickMark val="none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7584"/>
        <c:crosses val="autoZero"/>
        <c:crossBetween val="midCat"/>
        <c:dispUnits>
          <c:builtInUnit val="billions"/>
        </c:dispUnits>
      </c:valAx>
      <c:valAx>
        <c:axId val="93252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Tx PSD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tx>
            <c:strRef>
              <c:f>Calculate!$F$1</c:f>
              <c:strCache>
                <c:ptCount val="1"/>
                <c:pt idx="0">
                  <c:v>Tx_PSD_us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  <c:extLst xmlns:c15="http://schemas.microsoft.com/office/drawing/2012/chart"/>
            </c:numRef>
          </c:xVal>
          <c:yVal>
            <c:numRef>
              <c:f>Calculate!$F$2:$F$201</c:f>
              <c:numCache>
                <c:formatCode>0.00</c:formatCode>
                <c:ptCount val="200"/>
                <c:pt idx="0">
                  <c:v>-97.360471704616899</c:v>
                </c:pt>
                <c:pt idx="1">
                  <c:v>-97.360910630638642</c:v>
                </c:pt>
                <c:pt idx="2">
                  <c:v>-97.361642193725203</c:v>
                </c:pt>
                <c:pt idx="3">
                  <c:v>-97.362666423455991</c:v>
                </c:pt>
                <c:pt idx="4">
                  <c:v>-97.363983361250234</c:v>
                </c:pt>
                <c:pt idx="5">
                  <c:v>-97.365593060374835</c:v>
                </c:pt>
                <c:pt idx="6">
                  <c:v>-97.367495585954714</c:v>
                </c:pt>
                <c:pt idx="7">
                  <c:v>-97.369691014985335</c:v>
                </c:pt>
                <c:pt idx="8">
                  <c:v>-97.372179436347551</c:v>
                </c:pt>
                <c:pt idx="9">
                  <c:v>-97.374960950824729</c:v>
                </c:pt>
                <c:pt idx="10">
                  <c:v>-97.378035671122277</c:v>
                </c:pt>
                <c:pt idx="11">
                  <c:v>-97.381403721889328</c:v>
                </c:pt>
                <c:pt idx="12">
                  <c:v>-97.385065239742929</c:v>
                </c:pt>
                <c:pt idx="13">
                  <c:v>-97.389020373294386</c:v>
                </c:pt>
                <c:pt idx="14">
                  <c:v>-97.393269283178128</c:v>
                </c:pt>
                <c:pt idx="15">
                  <c:v>-97.397812142082799</c:v>
                </c:pt>
                <c:pt idx="16">
                  <c:v>-97.402649134784795</c:v>
                </c:pt>
                <c:pt idx="17">
                  <c:v>-97.407780458184163</c:v>
                </c:pt>
                <c:pt idx="18">
                  <c:v>-97.413206321342912</c:v>
                </c:pt>
                <c:pt idx="19">
                  <c:v>-97.418926945525754</c:v>
                </c:pt>
                <c:pt idx="20">
                  <c:v>-97.424942564243224</c:v>
                </c:pt>
                <c:pt idx="21">
                  <c:v>-97.431253423297335</c:v>
                </c:pt>
                <c:pt idx="22">
                  <c:v>-97.437859780829697</c:v>
                </c:pt>
                <c:pt idx="23">
                  <c:v>-97.44476190737204</c:v>
                </c:pt>
                <c:pt idx="24">
                  <c:v>-97.451960085899387</c:v>
                </c:pt>
                <c:pt idx="25">
                  <c:v>-97.459454611885661</c:v>
                </c:pt>
                <c:pt idx="26">
                  <c:v>-97.467245793361968</c:v>
                </c:pt>
                <c:pt idx="27">
                  <c:v>-97.475333950977316</c:v>
                </c:pt>
                <c:pt idx="28">
                  <c:v>-97.483719418062108</c:v>
                </c:pt>
                <c:pt idx="29">
                  <c:v>-97.492402540694215</c:v>
                </c:pt>
                <c:pt idx="30">
                  <c:v>-97.501383677767677</c:v>
                </c:pt>
                <c:pt idx="31">
                  <c:v>-97.510663201064176</c:v>
                </c:pt>
                <c:pt idx="32">
                  <c:v>-97.520241495327298</c:v>
                </c:pt>
                <c:pt idx="33">
                  <c:v>-97.530118958339358</c:v>
                </c:pt>
                <c:pt idx="34">
                  <c:v>-97.540296001001281</c:v>
                </c:pt>
                <c:pt idx="35">
                  <c:v>-97.550773047415191</c:v>
                </c:pt>
                <c:pt idx="36">
                  <c:v>-97.561550534969811</c:v>
                </c:pt>
                <c:pt idx="37">
                  <c:v>-97.572628914428989</c:v>
                </c:pt>
                <c:pt idx="38">
                  <c:v>-97.584008650022952</c:v>
                </c:pt>
                <c:pt idx="39">
                  <c:v>-97.595690219542689</c:v>
                </c:pt>
                <c:pt idx="40">
                  <c:v>-97.607674114437401</c:v>
                </c:pt>
                <c:pt idx="41">
                  <c:v>-97.619960839914896</c:v>
                </c:pt>
                <c:pt idx="42">
                  <c:v>-97.632550915045258</c:v>
                </c:pt>
                <c:pt idx="43">
                  <c:v>-97.6454448728676</c:v>
                </c:pt>
                <c:pt idx="44">
                  <c:v>-97.658643260500114</c:v>
                </c:pt>
                <c:pt idx="45">
                  <c:v>-97.672146639253342</c:v>
                </c:pt>
                <c:pt idx="46">
                  <c:v>-97.68595558474685</c:v>
                </c:pt>
                <c:pt idx="47">
                  <c:v>-97.700070687029196</c:v>
                </c:pt>
                <c:pt idx="48">
                  <c:v>-97.714492550701436</c:v>
                </c:pt>
                <c:pt idx="49">
                  <c:v>-97.729221795044026</c:v>
                </c:pt>
                <c:pt idx="50">
                  <c:v>-97.744259054147435</c:v>
                </c:pt>
                <c:pt idx="51">
                  <c:v>-97.759604977046266</c:v>
                </c:pt>
                <c:pt idx="52">
                  <c:v>-97.775260227857032</c:v>
                </c:pt>
                <c:pt idx="53">
                  <c:v>-97.791225485919881</c:v>
                </c:pt>
                <c:pt idx="54">
                  <c:v>-97.807501445943899</c:v>
                </c:pt>
                <c:pt idx="55">
                  <c:v>-97.824088818156511</c:v>
                </c:pt>
                <c:pt idx="56">
                  <c:v>-97.840988328456731</c:v>
                </c:pt>
                <c:pt idx="57">
                  <c:v>-97.858200718572533</c:v>
                </c:pt>
                <c:pt idx="58">
                  <c:v>-97.875726746222213</c:v>
                </c:pt>
                <c:pt idx="59">
                  <c:v>-97.893567185280162</c:v>
                </c:pt>
                <c:pt idx="60">
                  <c:v>-97.91172282594674</c:v>
                </c:pt>
                <c:pt idx="61">
                  <c:v>-97.930194474922601</c:v>
                </c:pt>
                <c:pt idx="62">
                  <c:v>-97.948982955587496</c:v>
                </c:pt>
                <c:pt idx="63">
                  <c:v>-97.96808910818352</c:v>
                </c:pt>
                <c:pt idx="64">
                  <c:v>-97.987513790003149</c:v>
                </c:pt>
                <c:pt idx="65">
                  <c:v>-98.007257875581942</c:v>
                </c:pt>
                <c:pt idx="66">
                  <c:v>-98.027322256896028</c:v>
                </c:pt>
                <c:pt idx="67">
                  <c:v>-98.04770784356468</c:v>
                </c:pt>
                <c:pt idx="68">
                  <c:v>-98.068415563057783</c:v>
                </c:pt>
                <c:pt idx="69">
                  <c:v>-98.089446360908553</c:v>
                </c:pt>
                <c:pt idx="70">
                  <c:v>-98.110801200931533</c:v>
                </c:pt>
                <c:pt idx="71">
                  <c:v>-98.13248106544593</c:v>
                </c:pt>
                <c:pt idx="72">
                  <c:v>-98.154486955504481</c:v>
                </c:pt>
                <c:pt idx="73">
                  <c:v>-98.176819891127963</c:v>
                </c:pt>
                <c:pt idx="74">
                  <c:v>-98.199480911545393</c:v>
                </c:pt>
                <c:pt idx="75">
                  <c:v>-98.222471075440311</c:v>
                </c:pt>
                <c:pt idx="76">
                  <c:v>-98.245791461202813</c:v>
                </c:pt>
                <c:pt idx="77">
                  <c:v>-98.269443167187973</c:v>
                </c:pt>
                <c:pt idx="78">
                  <c:v>-98.293427311980494</c:v>
                </c:pt>
                <c:pt idx="79">
                  <c:v>-98.317745034665819</c:v>
                </c:pt>
                <c:pt idx="80">
                  <c:v>-98.342397495107846</c:v>
                </c:pt>
                <c:pt idx="81">
                  <c:v>-98.367385874233491</c:v>
                </c:pt>
                <c:pt idx="82">
                  <c:v>-98.392711374324051</c:v>
                </c:pt>
                <c:pt idx="83">
                  <c:v>-98.41837521931383</c:v>
                </c:pt>
                <c:pt idx="84">
                  <c:v>-98.44437865509596</c:v>
                </c:pt>
                <c:pt idx="85">
                  <c:v>-98.470722949835647</c:v>
                </c:pt>
                <c:pt idx="86">
                  <c:v>-98.497409394291168</c:v>
                </c:pt>
                <c:pt idx="87">
                  <c:v>-98.524439302142625</c:v>
                </c:pt>
                <c:pt idx="88">
                  <c:v>-98.551814010328769</c:v>
                </c:pt>
                <c:pt idx="89">
                  <c:v>-98.579534879392043</c:v>
                </c:pt>
                <c:pt idx="90">
                  <c:v>-98.607603293832113</c:v>
                </c:pt>
                <c:pt idx="91">
                  <c:v>-98.636020662468042</c:v>
                </c:pt>
                <c:pt idx="92">
                  <c:v>-98.664788418809323</c:v>
                </c:pt>
                <c:pt idx="93">
                  <c:v>-98.693908021436144</c:v>
                </c:pt>
                <c:pt idx="94">
                  <c:v>-98.723380954388901</c:v>
                </c:pt>
                <c:pt idx="95">
                  <c:v>-98.753208727567383</c:v>
                </c:pt>
                <c:pt idx="96">
                  <c:v>-98.78339287713986</c:v>
                </c:pt>
                <c:pt idx="97">
                  <c:v>-98.813934965962218</c:v>
                </c:pt>
                <c:pt idx="98">
                  <c:v>-98.844836584007595</c:v>
                </c:pt>
                <c:pt idx="99">
                  <c:v>-98.876099348806591</c:v>
                </c:pt>
                <c:pt idx="100">
                  <c:v>-98.907724905898633</c:v>
                </c:pt>
                <c:pt idx="101">
                  <c:v>-98.939714929294425</c:v>
                </c:pt>
                <c:pt idx="102">
                  <c:v>-98.972071121950165</c:v>
                </c:pt>
                <c:pt idx="103">
                  <c:v>-99.004795216253555</c:v>
                </c:pt>
                <c:pt idx="104">
                  <c:v>-99.037888974522176</c:v>
                </c:pt>
                <c:pt idx="105">
                  <c:v>-99.071354189514295</c:v>
                </c:pt>
                <c:pt idx="106">
                  <c:v>-99.10519268495284</c:v>
                </c:pt>
                <c:pt idx="107">
                  <c:v>-99.139406316062534</c:v>
                </c:pt>
                <c:pt idx="108">
                  <c:v>-99.173996970120768</c:v>
                </c:pt>
                <c:pt idx="109">
                  <c:v>-99.208966567022657</c:v>
                </c:pt>
                <c:pt idx="110">
                  <c:v>-99.244317059860435</c:v>
                </c:pt>
                <c:pt idx="111">
                  <c:v>-99.280050435518007</c:v>
                </c:pt>
                <c:pt idx="112">
                  <c:v>-99.316168715280682</c:v>
                </c:pt>
                <c:pt idx="113">
                  <c:v>-99.352673955460816</c:v>
                </c:pt>
                <c:pt idx="114">
                  <c:v>-99.389568248039708</c:v>
                </c:pt>
                <c:pt idx="115">
                  <c:v>-99.426853721326381</c:v>
                </c:pt>
                <c:pt idx="116">
                  <c:v>-99.464532540633499</c:v>
                </c:pt>
                <c:pt idx="117">
                  <c:v>-99.502606908971174</c:v>
                </c:pt>
                <c:pt idx="118">
                  <c:v>-99.541079067759156</c:v>
                </c:pt>
                <c:pt idx="119">
                  <c:v>-99.579951297557898</c:v>
                </c:pt>
                <c:pt idx="120">
                  <c:v>-99.619225918819026</c:v>
                </c:pt>
                <c:pt idx="121">
                  <c:v>-99.658905292656129</c:v>
                </c:pt>
                <c:pt idx="122">
                  <c:v>-99.698991821636014</c:v>
                </c:pt>
                <c:pt idx="123">
                  <c:v>-99.739487950591496</c:v>
                </c:pt>
                <c:pt idx="124">
                  <c:v>-99.780396167456232</c:v>
                </c:pt>
                <c:pt idx="125">
                  <c:v>-99.821719004122201</c:v>
                </c:pt>
                <c:pt idx="126">
                  <c:v>-99.863459037320752</c:v>
                </c:pt>
                <c:pt idx="127">
                  <c:v>-99.905618889527801</c:v>
                </c:pt>
                <c:pt idx="128">
                  <c:v>-99.948201229894082</c:v>
                </c:pt>
                <c:pt idx="129">
                  <c:v>-99.991208775201159</c:v>
                </c:pt>
                <c:pt idx="130">
                  <c:v>-100.0346442908442</c:v>
                </c:pt>
                <c:pt idx="131">
                  <c:v>-100.0785105918421</c:v>
                </c:pt>
                <c:pt idx="132">
                  <c:v>-100.12281054387626</c:v>
                </c:pt>
                <c:pt idx="133">
                  <c:v>-100.16754706435857</c:v>
                </c:pt>
                <c:pt idx="134">
                  <c:v>-100.21272312352988</c:v>
                </c:pt>
                <c:pt idx="135">
                  <c:v>-100.25834174558979</c:v>
                </c:pt>
                <c:pt idx="136">
                  <c:v>-100.30440600985889</c:v>
                </c:pt>
                <c:pt idx="137">
                  <c:v>-100.35091905197467</c:v>
                </c:pt>
                <c:pt idx="138">
                  <c:v>-100.39788406512194</c:v>
                </c:pt>
                <c:pt idx="139">
                  <c:v>-100.44530430129929</c:v>
                </c:pt>
                <c:pt idx="140">
                  <c:v>-100.49318307262268</c:v>
                </c:pt>
                <c:pt idx="141">
                  <c:v>-100.54152375266744</c:v>
                </c:pt>
                <c:pt idx="142">
                  <c:v>-100.59032977785002</c:v>
                </c:pt>
                <c:pt idx="143">
                  <c:v>-100.63960464885101</c:v>
                </c:pt>
                <c:pt idx="144">
                  <c:v>-100.68935193208073</c:v>
                </c:pt>
                <c:pt idx="145">
                  <c:v>-100.73957526118913</c:v>
                </c:pt>
                <c:pt idx="146">
                  <c:v>-100.79027833862129</c:v>
                </c:pt>
                <c:pt idx="147">
                  <c:v>-100.84146493722047</c:v>
                </c:pt>
                <c:pt idx="148">
                  <c:v>-100.89313890188022</c:v>
                </c:pt>
                <c:pt idx="149">
                  <c:v>-100.94530415124757</c:v>
                </c:pt>
                <c:pt idx="150">
                  <c:v>-100.99796467947888</c:v>
                </c:pt>
                <c:pt idx="151">
                  <c:v>-101.05112455805062</c:v>
                </c:pt>
                <c:pt idx="152">
                  <c:v>-101.10478793762691</c:v>
                </c:pt>
                <c:pt idx="153">
                  <c:v>-101.15895904998612</c:v>
                </c:pt>
                <c:pt idx="154">
                  <c:v>-101.21364221000854</c:v>
                </c:pt>
                <c:pt idx="155">
                  <c:v>-101.26884181772775</c:v>
                </c:pt>
                <c:pt idx="156">
                  <c:v>-101.32456236044777</c:v>
                </c:pt>
                <c:pt idx="157">
                  <c:v>-101.38080841492898</c:v>
                </c:pt>
                <c:pt idx="158">
                  <c:v>-101.43758464964499</c:v>
                </c:pt>
                <c:pt idx="159">
                  <c:v>-101.49489582711355</c:v>
                </c:pt>
                <c:pt idx="160">
                  <c:v>-101.55274680630444</c:v>
                </c:pt>
                <c:pt idx="161">
                  <c:v>-101.61114254512712</c:v>
                </c:pt>
                <c:pt idx="162">
                  <c:v>-101.67008810300156</c:v>
                </c:pt>
                <c:pt idx="163">
                  <c:v>-101.72958864351557</c:v>
                </c:pt>
                <c:pt idx="164">
                  <c:v>-101.78964943717202</c:v>
                </c:pt>
                <c:pt idx="165">
                  <c:v>-101.85027586422964</c:v>
                </c:pt>
                <c:pt idx="166">
                  <c:v>-101.91147341764135</c:v>
                </c:pt>
                <c:pt idx="167">
                  <c:v>-101.973247706094</c:v>
                </c:pt>
                <c:pt idx="168">
                  <c:v>-102.03560445715382</c:v>
                </c:pt>
                <c:pt idx="169">
                  <c:v>-102.09854952052203</c:v>
                </c:pt>
                <c:pt idx="170">
                  <c:v>-102.16208887140507</c:v>
                </c:pt>
                <c:pt idx="171">
                  <c:v>-102.22622861400473</c:v>
                </c:pt>
                <c:pt idx="172">
                  <c:v>-102.29097498513272</c:v>
                </c:pt>
                <c:pt idx="173">
                  <c:v>-102.35633435795565</c:v>
                </c:pt>
                <c:pt idx="174">
                  <c:v>-102.42231324587559</c:v>
                </c:pt>
                <c:pt idx="175">
                  <c:v>-102.48891830655252</c:v>
                </c:pt>
                <c:pt idx="176">
                  <c:v>-102.5561563460746</c:v>
                </c:pt>
                <c:pt idx="177">
                  <c:v>-102.62403432328308</c:v>
                </c:pt>
                <c:pt idx="178">
                  <c:v>-102.69255935425859</c:v>
                </c:pt>
                <c:pt idx="179">
                  <c:v>-102.76173871697614</c:v>
                </c:pt>
                <c:pt idx="180">
                  <c:v>-102.83157985613663</c:v>
                </c:pt>
                <c:pt idx="181">
                  <c:v>-102.90209038818259</c:v>
                </c:pt>
                <c:pt idx="182">
                  <c:v>-102.97327810650708</c:v>
                </c:pt>
                <c:pt idx="183">
                  <c:v>-103.04515098686439</c:v>
                </c:pt>
                <c:pt idx="184">
                  <c:v>-103.11771719299212</c:v>
                </c:pt>
                <c:pt idx="185">
                  <c:v>-103.19098508245467</c:v>
                </c:pt>
                <c:pt idx="186">
                  <c:v>-103.2649632127186</c:v>
                </c:pt>
                <c:pt idx="187">
                  <c:v>-103.33966034747093</c:v>
                </c:pt>
                <c:pt idx="188">
                  <c:v>-103.41508546319226</c:v>
                </c:pt>
                <c:pt idx="189">
                  <c:v>-103.49124775599701</c:v>
                </c:pt>
                <c:pt idx="190">
                  <c:v>-103.56815664875407</c:v>
                </c:pt>
                <c:pt idx="191">
                  <c:v>-103.6458217985015</c:v>
                </c:pt>
                <c:pt idx="192">
                  <c:v>-103.72425310417017</c:v>
                </c:pt>
                <c:pt idx="193">
                  <c:v>-103.80346071463197</c:v>
                </c:pt>
                <c:pt idx="194">
                  <c:v>-103.88345503708872</c:v>
                </c:pt>
                <c:pt idx="195">
                  <c:v>-103.96424674581981</c:v>
                </c:pt>
                <c:pt idx="196">
                  <c:v>-104.04584679130645</c:v>
                </c:pt>
                <c:pt idx="197">
                  <c:v>-104.12826640975285</c:v>
                </c:pt>
                <c:pt idx="198">
                  <c:v>-104.21151713302466</c:v>
                </c:pt>
                <c:pt idx="199">
                  <c:v>-104.29561079902707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0-84BA-4B27-90CF-23E3B49F7A94}"/>
            </c:ext>
          </c:extLst>
        </c:ser>
        <c:ser>
          <c:idx val="3"/>
          <c:order val="3"/>
          <c:tx>
            <c:strRef>
              <c:f>Calculate!$G$1</c:f>
              <c:strCache>
                <c:ptCount val="1"/>
                <c:pt idx="0">
                  <c:v>Tx_PSD_ds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Calculate!$A$2:$A$201</c:f>
              <c:numCache>
                <c:formatCode>#,##0</c:formatCode>
                <c:ptCount val="200"/>
                <c:pt idx="0">
                  <c:v>45000000</c:v>
                </c:pt>
                <c:pt idx="1">
                  <c:v>90000000</c:v>
                </c:pt>
                <c:pt idx="2">
                  <c:v>135000000</c:v>
                </c:pt>
                <c:pt idx="3">
                  <c:v>180000000</c:v>
                </c:pt>
                <c:pt idx="4">
                  <c:v>225000000</c:v>
                </c:pt>
                <c:pt idx="5">
                  <c:v>270000000</c:v>
                </c:pt>
                <c:pt idx="6">
                  <c:v>315000000</c:v>
                </c:pt>
                <c:pt idx="7">
                  <c:v>360000000</c:v>
                </c:pt>
                <c:pt idx="8">
                  <c:v>405000000</c:v>
                </c:pt>
                <c:pt idx="9">
                  <c:v>450000000</c:v>
                </c:pt>
                <c:pt idx="10">
                  <c:v>495000000</c:v>
                </c:pt>
                <c:pt idx="11">
                  <c:v>540000000</c:v>
                </c:pt>
                <c:pt idx="12">
                  <c:v>585000000</c:v>
                </c:pt>
                <c:pt idx="13">
                  <c:v>630000000</c:v>
                </c:pt>
                <c:pt idx="14">
                  <c:v>675000000</c:v>
                </c:pt>
                <c:pt idx="15">
                  <c:v>720000000</c:v>
                </c:pt>
                <c:pt idx="16">
                  <c:v>765000000</c:v>
                </c:pt>
                <c:pt idx="17">
                  <c:v>810000000</c:v>
                </c:pt>
                <c:pt idx="18">
                  <c:v>855000000</c:v>
                </c:pt>
                <c:pt idx="19">
                  <c:v>900000000</c:v>
                </c:pt>
                <c:pt idx="20">
                  <c:v>945000000</c:v>
                </c:pt>
                <c:pt idx="21">
                  <c:v>990000000</c:v>
                </c:pt>
                <c:pt idx="22">
                  <c:v>1035000000</c:v>
                </c:pt>
                <c:pt idx="23">
                  <c:v>1080000000</c:v>
                </c:pt>
                <c:pt idx="24">
                  <c:v>1125000000</c:v>
                </c:pt>
                <c:pt idx="25">
                  <c:v>1170000000</c:v>
                </c:pt>
                <c:pt idx="26">
                  <c:v>1215000000</c:v>
                </c:pt>
                <c:pt idx="27">
                  <c:v>1260000000</c:v>
                </c:pt>
                <c:pt idx="28">
                  <c:v>1305000000</c:v>
                </c:pt>
                <c:pt idx="29">
                  <c:v>1350000000</c:v>
                </c:pt>
                <c:pt idx="30">
                  <c:v>1395000000</c:v>
                </c:pt>
                <c:pt idx="31">
                  <c:v>1440000000</c:v>
                </c:pt>
                <c:pt idx="32">
                  <c:v>1485000000</c:v>
                </c:pt>
                <c:pt idx="33">
                  <c:v>1530000000</c:v>
                </c:pt>
                <c:pt idx="34">
                  <c:v>1575000000</c:v>
                </c:pt>
                <c:pt idx="35">
                  <c:v>1620000000</c:v>
                </c:pt>
                <c:pt idx="36">
                  <c:v>1665000000</c:v>
                </c:pt>
                <c:pt idx="37">
                  <c:v>1710000000</c:v>
                </c:pt>
                <c:pt idx="38">
                  <c:v>1755000000</c:v>
                </c:pt>
                <c:pt idx="39">
                  <c:v>1800000000</c:v>
                </c:pt>
                <c:pt idx="40">
                  <c:v>1845000000</c:v>
                </c:pt>
                <c:pt idx="41">
                  <c:v>1890000000</c:v>
                </c:pt>
                <c:pt idx="42">
                  <c:v>1935000000</c:v>
                </c:pt>
                <c:pt idx="43">
                  <c:v>1980000000</c:v>
                </c:pt>
                <c:pt idx="44">
                  <c:v>2025000000</c:v>
                </c:pt>
                <c:pt idx="45">
                  <c:v>2070000000</c:v>
                </c:pt>
                <c:pt idx="46">
                  <c:v>2115000000</c:v>
                </c:pt>
                <c:pt idx="47">
                  <c:v>2160000000</c:v>
                </c:pt>
                <c:pt idx="48">
                  <c:v>2205000000</c:v>
                </c:pt>
                <c:pt idx="49">
                  <c:v>2250000000</c:v>
                </c:pt>
                <c:pt idx="50">
                  <c:v>2295000000</c:v>
                </c:pt>
                <c:pt idx="51">
                  <c:v>2340000000</c:v>
                </c:pt>
                <c:pt idx="52">
                  <c:v>2385000000</c:v>
                </c:pt>
                <c:pt idx="53">
                  <c:v>2430000000</c:v>
                </c:pt>
                <c:pt idx="54">
                  <c:v>2475000000</c:v>
                </c:pt>
                <c:pt idx="55">
                  <c:v>2520000000</c:v>
                </c:pt>
                <c:pt idx="56">
                  <c:v>2565000000</c:v>
                </c:pt>
                <c:pt idx="57">
                  <c:v>2610000000</c:v>
                </c:pt>
                <c:pt idx="58">
                  <c:v>2655000000</c:v>
                </c:pt>
                <c:pt idx="59">
                  <c:v>2700000000</c:v>
                </c:pt>
                <c:pt idx="60">
                  <c:v>2745000000</c:v>
                </c:pt>
                <c:pt idx="61">
                  <c:v>2790000000</c:v>
                </c:pt>
                <c:pt idx="62">
                  <c:v>2835000000</c:v>
                </c:pt>
                <c:pt idx="63">
                  <c:v>2880000000</c:v>
                </c:pt>
                <c:pt idx="64">
                  <c:v>2925000000</c:v>
                </c:pt>
                <c:pt idx="65">
                  <c:v>2970000000</c:v>
                </c:pt>
                <c:pt idx="66">
                  <c:v>3015000000</c:v>
                </c:pt>
                <c:pt idx="67">
                  <c:v>3060000000</c:v>
                </c:pt>
                <c:pt idx="68">
                  <c:v>3105000000</c:v>
                </c:pt>
                <c:pt idx="69">
                  <c:v>3150000000</c:v>
                </c:pt>
                <c:pt idx="70">
                  <c:v>3195000000</c:v>
                </c:pt>
                <c:pt idx="71">
                  <c:v>3240000000</c:v>
                </c:pt>
                <c:pt idx="72">
                  <c:v>3285000000</c:v>
                </c:pt>
                <c:pt idx="73">
                  <c:v>3330000000</c:v>
                </c:pt>
                <c:pt idx="74">
                  <c:v>3375000000</c:v>
                </c:pt>
                <c:pt idx="75">
                  <c:v>3420000000</c:v>
                </c:pt>
                <c:pt idx="76">
                  <c:v>3465000000</c:v>
                </c:pt>
                <c:pt idx="77">
                  <c:v>3510000000</c:v>
                </c:pt>
                <c:pt idx="78">
                  <c:v>3555000000</c:v>
                </c:pt>
                <c:pt idx="79">
                  <c:v>3600000000</c:v>
                </c:pt>
                <c:pt idx="80">
                  <c:v>3645000000</c:v>
                </c:pt>
                <c:pt idx="81">
                  <c:v>3690000000</c:v>
                </c:pt>
                <c:pt idx="82">
                  <c:v>3735000000</c:v>
                </c:pt>
                <c:pt idx="83">
                  <c:v>3780000000</c:v>
                </c:pt>
                <c:pt idx="84">
                  <c:v>3825000000</c:v>
                </c:pt>
                <c:pt idx="85">
                  <c:v>3870000000</c:v>
                </c:pt>
                <c:pt idx="86">
                  <c:v>3915000000</c:v>
                </c:pt>
                <c:pt idx="87">
                  <c:v>3960000000</c:v>
                </c:pt>
                <c:pt idx="88">
                  <c:v>4005000000</c:v>
                </c:pt>
                <c:pt idx="89">
                  <c:v>4050000000</c:v>
                </c:pt>
                <c:pt idx="90">
                  <c:v>4095000000</c:v>
                </c:pt>
                <c:pt idx="91">
                  <c:v>4140000000</c:v>
                </c:pt>
                <c:pt idx="92">
                  <c:v>4185000000</c:v>
                </c:pt>
                <c:pt idx="93">
                  <c:v>4230000000</c:v>
                </c:pt>
                <c:pt idx="94">
                  <c:v>4275000000</c:v>
                </c:pt>
                <c:pt idx="95">
                  <c:v>4320000000</c:v>
                </c:pt>
                <c:pt idx="96">
                  <c:v>4365000000</c:v>
                </c:pt>
                <c:pt idx="97">
                  <c:v>4410000000</c:v>
                </c:pt>
                <c:pt idx="98">
                  <c:v>4455000000</c:v>
                </c:pt>
                <c:pt idx="99">
                  <c:v>4500000000</c:v>
                </c:pt>
                <c:pt idx="100">
                  <c:v>4545000000</c:v>
                </c:pt>
                <c:pt idx="101">
                  <c:v>4590000000</c:v>
                </c:pt>
                <c:pt idx="102">
                  <c:v>4635000000</c:v>
                </c:pt>
                <c:pt idx="103">
                  <c:v>4680000000</c:v>
                </c:pt>
                <c:pt idx="104">
                  <c:v>4725000000</c:v>
                </c:pt>
                <c:pt idx="105">
                  <c:v>4770000000</c:v>
                </c:pt>
                <c:pt idx="106">
                  <c:v>4815000000</c:v>
                </c:pt>
                <c:pt idx="107">
                  <c:v>4860000000</c:v>
                </c:pt>
                <c:pt idx="108">
                  <c:v>4905000000</c:v>
                </c:pt>
                <c:pt idx="109">
                  <c:v>4950000000</c:v>
                </c:pt>
                <c:pt idx="110">
                  <c:v>4995000000</c:v>
                </c:pt>
                <c:pt idx="111">
                  <c:v>5040000000</c:v>
                </c:pt>
                <c:pt idx="112">
                  <c:v>5085000000</c:v>
                </c:pt>
                <c:pt idx="113">
                  <c:v>5130000000</c:v>
                </c:pt>
                <c:pt idx="114">
                  <c:v>5175000000</c:v>
                </c:pt>
                <c:pt idx="115">
                  <c:v>5220000000</c:v>
                </c:pt>
                <c:pt idx="116">
                  <c:v>5265000000</c:v>
                </c:pt>
                <c:pt idx="117">
                  <c:v>5310000000</c:v>
                </c:pt>
                <c:pt idx="118">
                  <c:v>5355000000</c:v>
                </c:pt>
                <c:pt idx="119">
                  <c:v>5400000000</c:v>
                </c:pt>
                <c:pt idx="120">
                  <c:v>5445000000</c:v>
                </c:pt>
                <c:pt idx="121">
                  <c:v>5490000000</c:v>
                </c:pt>
                <c:pt idx="122">
                  <c:v>5535000000</c:v>
                </c:pt>
                <c:pt idx="123">
                  <c:v>5580000000</c:v>
                </c:pt>
                <c:pt idx="124">
                  <c:v>5625000000</c:v>
                </c:pt>
                <c:pt idx="125">
                  <c:v>5670000000</c:v>
                </c:pt>
                <c:pt idx="126">
                  <c:v>5715000000</c:v>
                </c:pt>
                <c:pt idx="127">
                  <c:v>5760000000</c:v>
                </c:pt>
                <c:pt idx="128">
                  <c:v>5805000000</c:v>
                </c:pt>
                <c:pt idx="129">
                  <c:v>5850000000</c:v>
                </c:pt>
                <c:pt idx="130">
                  <c:v>5895000000</c:v>
                </c:pt>
                <c:pt idx="131">
                  <c:v>5940000000</c:v>
                </c:pt>
                <c:pt idx="132">
                  <c:v>5985000000</c:v>
                </c:pt>
                <c:pt idx="133">
                  <c:v>6030000000</c:v>
                </c:pt>
                <c:pt idx="134">
                  <c:v>6075000000</c:v>
                </c:pt>
                <c:pt idx="135">
                  <c:v>6120000000</c:v>
                </c:pt>
                <c:pt idx="136">
                  <c:v>6165000000</c:v>
                </c:pt>
                <c:pt idx="137">
                  <c:v>6210000000</c:v>
                </c:pt>
                <c:pt idx="138">
                  <c:v>6255000000</c:v>
                </c:pt>
                <c:pt idx="139">
                  <c:v>6300000000</c:v>
                </c:pt>
                <c:pt idx="140">
                  <c:v>6345000000</c:v>
                </c:pt>
                <c:pt idx="141">
                  <c:v>6390000000</c:v>
                </c:pt>
                <c:pt idx="142">
                  <c:v>6435000000</c:v>
                </c:pt>
                <c:pt idx="143">
                  <c:v>6480000000</c:v>
                </c:pt>
                <c:pt idx="144">
                  <c:v>6525000000</c:v>
                </c:pt>
                <c:pt idx="145">
                  <c:v>6570000000</c:v>
                </c:pt>
                <c:pt idx="146">
                  <c:v>6615000000</c:v>
                </c:pt>
                <c:pt idx="147">
                  <c:v>6660000000</c:v>
                </c:pt>
                <c:pt idx="148">
                  <c:v>6705000000</c:v>
                </c:pt>
                <c:pt idx="149">
                  <c:v>6750000000</c:v>
                </c:pt>
                <c:pt idx="150">
                  <c:v>6795000000</c:v>
                </c:pt>
                <c:pt idx="151">
                  <c:v>6840000000</c:v>
                </c:pt>
                <c:pt idx="152">
                  <c:v>6885000000</c:v>
                </c:pt>
                <c:pt idx="153">
                  <c:v>6930000000</c:v>
                </c:pt>
                <c:pt idx="154">
                  <c:v>6975000000</c:v>
                </c:pt>
                <c:pt idx="155">
                  <c:v>7020000000</c:v>
                </c:pt>
                <c:pt idx="156">
                  <c:v>7065000000</c:v>
                </c:pt>
                <c:pt idx="157">
                  <c:v>7110000000</c:v>
                </c:pt>
                <c:pt idx="158">
                  <c:v>7155000000</c:v>
                </c:pt>
                <c:pt idx="159">
                  <c:v>7200000000</c:v>
                </c:pt>
                <c:pt idx="160">
                  <c:v>7245000000</c:v>
                </c:pt>
                <c:pt idx="161">
                  <c:v>7290000000</c:v>
                </c:pt>
                <c:pt idx="162">
                  <c:v>7335000000</c:v>
                </c:pt>
                <c:pt idx="163">
                  <c:v>7380000000</c:v>
                </c:pt>
                <c:pt idx="164">
                  <c:v>7425000000</c:v>
                </c:pt>
                <c:pt idx="165">
                  <c:v>7470000000</c:v>
                </c:pt>
                <c:pt idx="166">
                  <c:v>7515000000</c:v>
                </c:pt>
                <c:pt idx="167">
                  <c:v>7560000000</c:v>
                </c:pt>
                <c:pt idx="168">
                  <c:v>7605000000</c:v>
                </c:pt>
                <c:pt idx="169">
                  <c:v>7650000000</c:v>
                </c:pt>
                <c:pt idx="170">
                  <c:v>7695000000</c:v>
                </c:pt>
                <c:pt idx="171">
                  <c:v>7740000000</c:v>
                </c:pt>
                <c:pt idx="172">
                  <c:v>7785000000</c:v>
                </c:pt>
                <c:pt idx="173">
                  <c:v>7830000000</c:v>
                </c:pt>
                <c:pt idx="174">
                  <c:v>7875000000</c:v>
                </c:pt>
                <c:pt idx="175">
                  <c:v>7920000000</c:v>
                </c:pt>
                <c:pt idx="176">
                  <c:v>7965000000</c:v>
                </c:pt>
                <c:pt idx="177">
                  <c:v>8010000000</c:v>
                </c:pt>
                <c:pt idx="178">
                  <c:v>8055000000</c:v>
                </c:pt>
                <c:pt idx="179">
                  <c:v>8100000000</c:v>
                </c:pt>
                <c:pt idx="180">
                  <c:v>8145000000</c:v>
                </c:pt>
                <c:pt idx="181">
                  <c:v>8190000000</c:v>
                </c:pt>
                <c:pt idx="182">
                  <c:v>8235000000</c:v>
                </c:pt>
                <c:pt idx="183">
                  <c:v>8280000000</c:v>
                </c:pt>
                <c:pt idx="184">
                  <c:v>8325000000</c:v>
                </c:pt>
                <c:pt idx="185">
                  <c:v>8370000000</c:v>
                </c:pt>
                <c:pt idx="186">
                  <c:v>8415000000</c:v>
                </c:pt>
                <c:pt idx="187">
                  <c:v>8460000000</c:v>
                </c:pt>
                <c:pt idx="188">
                  <c:v>8505000000</c:v>
                </c:pt>
                <c:pt idx="189">
                  <c:v>8550000000</c:v>
                </c:pt>
                <c:pt idx="190">
                  <c:v>8595000000</c:v>
                </c:pt>
                <c:pt idx="191">
                  <c:v>8640000000</c:v>
                </c:pt>
                <c:pt idx="192">
                  <c:v>8685000000</c:v>
                </c:pt>
                <c:pt idx="193">
                  <c:v>8730000000</c:v>
                </c:pt>
                <c:pt idx="194">
                  <c:v>8775000000</c:v>
                </c:pt>
                <c:pt idx="195">
                  <c:v>8820000000</c:v>
                </c:pt>
                <c:pt idx="196">
                  <c:v>8865000000</c:v>
                </c:pt>
                <c:pt idx="197">
                  <c:v>8910000000</c:v>
                </c:pt>
                <c:pt idx="198">
                  <c:v>8955000000</c:v>
                </c:pt>
                <c:pt idx="199">
                  <c:v>9000000000</c:v>
                </c:pt>
              </c:numCache>
              <c:extLst xmlns:c15="http://schemas.microsoft.com/office/drawing/2012/chart"/>
            </c:numRef>
          </c:xVal>
          <c:yVal>
            <c:numRef>
              <c:f>Calculate!$G$2:$G$201</c:f>
              <c:numCache>
                <c:formatCode>0.00</c:formatCode>
                <c:ptCount val="200"/>
                <c:pt idx="0">
                  <c:v>-97.360471704616899</c:v>
                </c:pt>
                <c:pt idx="1">
                  <c:v>-97.360910630638642</c:v>
                </c:pt>
                <c:pt idx="2">
                  <c:v>-97.361642193725203</c:v>
                </c:pt>
                <c:pt idx="3">
                  <c:v>-97.362666423455991</c:v>
                </c:pt>
                <c:pt idx="4">
                  <c:v>-97.363983361250234</c:v>
                </c:pt>
                <c:pt idx="5">
                  <c:v>-97.365593060374835</c:v>
                </c:pt>
                <c:pt idx="6">
                  <c:v>-97.367495585954714</c:v>
                </c:pt>
                <c:pt idx="7">
                  <c:v>-97.369691014985335</c:v>
                </c:pt>
                <c:pt idx="8">
                  <c:v>-97.372179436347551</c:v>
                </c:pt>
                <c:pt idx="9">
                  <c:v>-97.374960950824729</c:v>
                </c:pt>
                <c:pt idx="10">
                  <c:v>-97.378035671122277</c:v>
                </c:pt>
                <c:pt idx="11">
                  <c:v>-97.381403721889328</c:v>
                </c:pt>
                <c:pt idx="12">
                  <c:v>-97.385065239742929</c:v>
                </c:pt>
                <c:pt idx="13">
                  <c:v>-97.389020373294386</c:v>
                </c:pt>
                <c:pt idx="14">
                  <c:v>-97.393269283178128</c:v>
                </c:pt>
                <c:pt idx="15">
                  <c:v>-97.397812142082799</c:v>
                </c:pt>
                <c:pt idx="16">
                  <c:v>-97.402649134784795</c:v>
                </c:pt>
                <c:pt idx="17">
                  <c:v>-97.407780458184163</c:v>
                </c:pt>
                <c:pt idx="18">
                  <c:v>-97.413206321342912</c:v>
                </c:pt>
                <c:pt idx="19">
                  <c:v>-97.418926945525754</c:v>
                </c:pt>
                <c:pt idx="20">
                  <c:v>-97.424942564243224</c:v>
                </c:pt>
                <c:pt idx="21">
                  <c:v>-97.431253423297335</c:v>
                </c:pt>
                <c:pt idx="22">
                  <c:v>-97.437859780829697</c:v>
                </c:pt>
                <c:pt idx="23">
                  <c:v>-97.44476190737204</c:v>
                </c:pt>
                <c:pt idx="24">
                  <c:v>-97.451960085899387</c:v>
                </c:pt>
                <c:pt idx="25">
                  <c:v>-97.459454611885661</c:v>
                </c:pt>
                <c:pt idx="26">
                  <c:v>-97.467245793361968</c:v>
                </c:pt>
                <c:pt idx="27">
                  <c:v>-97.475333950977316</c:v>
                </c:pt>
                <c:pt idx="28">
                  <c:v>-97.483719418062108</c:v>
                </c:pt>
                <c:pt idx="29">
                  <c:v>-97.492402540694215</c:v>
                </c:pt>
                <c:pt idx="30">
                  <c:v>-97.501383677767677</c:v>
                </c:pt>
                <c:pt idx="31">
                  <c:v>-97.510663201064176</c:v>
                </c:pt>
                <c:pt idx="32">
                  <c:v>-97.520241495327298</c:v>
                </c:pt>
                <c:pt idx="33">
                  <c:v>-97.530118958339358</c:v>
                </c:pt>
                <c:pt idx="34">
                  <c:v>-97.540296001001281</c:v>
                </c:pt>
                <c:pt idx="35">
                  <c:v>-97.550773047415191</c:v>
                </c:pt>
                <c:pt idx="36">
                  <c:v>-97.561550534969811</c:v>
                </c:pt>
                <c:pt idx="37">
                  <c:v>-97.572628914428989</c:v>
                </c:pt>
                <c:pt idx="38">
                  <c:v>-97.584008650022952</c:v>
                </c:pt>
                <c:pt idx="39">
                  <c:v>-97.595690219542689</c:v>
                </c:pt>
                <c:pt idx="40">
                  <c:v>-97.607674114437401</c:v>
                </c:pt>
                <c:pt idx="41">
                  <c:v>-97.619960839914896</c:v>
                </c:pt>
                <c:pt idx="42">
                  <c:v>-97.632550915045258</c:v>
                </c:pt>
                <c:pt idx="43">
                  <c:v>-97.6454448728676</c:v>
                </c:pt>
                <c:pt idx="44">
                  <c:v>-97.658643260500114</c:v>
                </c:pt>
                <c:pt idx="45">
                  <c:v>-97.672146639253342</c:v>
                </c:pt>
                <c:pt idx="46">
                  <c:v>-97.68595558474685</c:v>
                </c:pt>
                <c:pt idx="47">
                  <c:v>-97.700070687029196</c:v>
                </c:pt>
                <c:pt idx="48">
                  <c:v>-97.714492550701436</c:v>
                </c:pt>
                <c:pt idx="49">
                  <c:v>-97.729221795044026</c:v>
                </c:pt>
                <c:pt idx="50">
                  <c:v>-97.744259054147435</c:v>
                </c:pt>
                <c:pt idx="51">
                  <c:v>-97.759604977046266</c:v>
                </c:pt>
                <c:pt idx="52">
                  <c:v>-97.775260227857032</c:v>
                </c:pt>
                <c:pt idx="53">
                  <c:v>-97.791225485919881</c:v>
                </c:pt>
                <c:pt idx="54">
                  <c:v>-97.807501445943899</c:v>
                </c:pt>
                <c:pt idx="55">
                  <c:v>-97.824088818156511</c:v>
                </c:pt>
                <c:pt idx="56">
                  <c:v>-97.840988328456731</c:v>
                </c:pt>
                <c:pt idx="57">
                  <c:v>-97.858200718572533</c:v>
                </c:pt>
                <c:pt idx="58">
                  <c:v>-97.875726746222213</c:v>
                </c:pt>
                <c:pt idx="59">
                  <c:v>-97.893567185280162</c:v>
                </c:pt>
                <c:pt idx="60">
                  <c:v>-97.91172282594674</c:v>
                </c:pt>
                <c:pt idx="61">
                  <c:v>-97.930194474922601</c:v>
                </c:pt>
                <c:pt idx="62">
                  <c:v>-97.948982955587496</c:v>
                </c:pt>
                <c:pt idx="63">
                  <c:v>-97.96808910818352</c:v>
                </c:pt>
                <c:pt idx="64">
                  <c:v>-97.987513790003149</c:v>
                </c:pt>
                <c:pt idx="65">
                  <c:v>-98.007257875581942</c:v>
                </c:pt>
                <c:pt idx="66">
                  <c:v>-98.027322256896028</c:v>
                </c:pt>
                <c:pt idx="67">
                  <c:v>-98.04770784356468</c:v>
                </c:pt>
                <c:pt idx="68">
                  <c:v>-98.068415563057783</c:v>
                </c:pt>
                <c:pt idx="69">
                  <c:v>-98.089446360908553</c:v>
                </c:pt>
                <c:pt idx="70">
                  <c:v>-98.110801200931533</c:v>
                </c:pt>
                <c:pt idx="71">
                  <c:v>-98.13248106544593</c:v>
                </c:pt>
                <c:pt idx="72">
                  <c:v>-98.154486955504481</c:v>
                </c:pt>
                <c:pt idx="73">
                  <c:v>-98.176819891127963</c:v>
                </c:pt>
                <c:pt idx="74">
                  <c:v>-98.199480911545393</c:v>
                </c:pt>
                <c:pt idx="75">
                  <c:v>-98.222471075440311</c:v>
                </c:pt>
                <c:pt idx="76">
                  <c:v>-98.245791461202813</c:v>
                </c:pt>
                <c:pt idx="77">
                  <c:v>-98.269443167187973</c:v>
                </c:pt>
                <c:pt idx="78">
                  <c:v>-98.293427311980494</c:v>
                </c:pt>
                <c:pt idx="79">
                  <c:v>-98.317745034665819</c:v>
                </c:pt>
                <c:pt idx="80">
                  <c:v>-98.342397495107846</c:v>
                </c:pt>
                <c:pt idx="81">
                  <c:v>-98.367385874233491</c:v>
                </c:pt>
                <c:pt idx="82">
                  <c:v>-98.392711374324051</c:v>
                </c:pt>
                <c:pt idx="83">
                  <c:v>-98.41837521931383</c:v>
                </c:pt>
                <c:pt idx="84">
                  <c:v>-98.44437865509596</c:v>
                </c:pt>
                <c:pt idx="85">
                  <c:v>-98.470722949835647</c:v>
                </c:pt>
                <c:pt idx="86">
                  <c:v>-98.497409394291168</c:v>
                </c:pt>
                <c:pt idx="87">
                  <c:v>-98.524439302142625</c:v>
                </c:pt>
                <c:pt idx="88">
                  <c:v>-98.551814010328769</c:v>
                </c:pt>
                <c:pt idx="89">
                  <c:v>-98.579534879392043</c:v>
                </c:pt>
                <c:pt idx="90">
                  <c:v>-98.607603293832113</c:v>
                </c:pt>
                <c:pt idx="91">
                  <c:v>-98.636020662468042</c:v>
                </c:pt>
                <c:pt idx="92">
                  <c:v>-98.664788418809323</c:v>
                </c:pt>
                <c:pt idx="93">
                  <c:v>-98.693908021436144</c:v>
                </c:pt>
                <c:pt idx="94">
                  <c:v>-98.723380954388901</c:v>
                </c:pt>
                <c:pt idx="95">
                  <c:v>-98.753208727567383</c:v>
                </c:pt>
                <c:pt idx="96">
                  <c:v>-98.78339287713986</c:v>
                </c:pt>
                <c:pt idx="97">
                  <c:v>-98.813934965962218</c:v>
                </c:pt>
                <c:pt idx="98">
                  <c:v>-98.844836584007595</c:v>
                </c:pt>
                <c:pt idx="99">
                  <c:v>-98.876099348806591</c:v>
                </c:pt>
                <c:pt idx="100">
                  <c:v>-98.907724905898633</c:v>
                </c:pt>
                <c:pt idx="101">
                  <c:v>-98.939714929294425</c:v>
                </c:pt>
                <c:pt idx="102">
                  <c:v>-98.972071121950165</c:v>
                </c:pt>
                <c:pt idx="103">
                  <c:v>-99.004795216253555</c:v>
                </c:pt>
                <c:pt idx="104">
                  <c:v>-99.037888974522176</c:v>
                </c:pt>
                <c:pt idx="105">
                  <c:v>-99.071354189514295</c:v>
                </c:pt>
                <c:pt idx="106">
                  <c:v>-99.10519268495284</c:v>
                </c:pt>
                <c:pt idx="107">
                  <c:v>-99.139406316062534</c:v>
                </c:pt>
                <c:pt idx="108">
                  <c:v>-99.173996970120768</c:v>
                </c:pt>
                <c:pt idx="109">
                  <c:v>-99.208966567022657</c:v>
                </c:pt>
                <c:pt idx="110">
                  <c:v>-99.244317059860435</c:v>
                </c:pt>
                <c:pt idx="111">
                  <c:v>-99.280050435518007</c:v>
                </c:pt>
                <c:pt idx="112">
                  <c:v>-99.316168715280682</c:v>
                </c:pt>
                <c:pt idx="113">
                  <c:v>-99.352673955460816</c:v>
                </c:pt>
                <c:pt idx="114">
                  <c:v>-99.389568248039708</c:v>
                </c:pt>
                <c:pt idx="115">
                  <c:v>-99.426853721326381</c:v>
                </c:pt>
                <c:pt idx="116">
                  <c:v>-99.464532540633499</c:v>
                </c:pt>
                <c:pt idx="117">
                  <c:v>-99.502606908971174</c:v>
                </c:pt>
                <c:pt idx="118">
                  <c:v>-99.541079067759156</c:v>
                </c:pt>
                <c:pt idx="119">
                  <c:v>-99.579951297557898</c:v>
                </c:pt>
                <c:pt idx="120">
                  <c:v>-99.619225918819026</c:v>
                </c:pt>
                <c:pt idx="121">
                  <c:v>-99.658905292656129</c:v>
                </c:pt>
                <c:pt idx="122">
                  <c:v>-99.698991821636014</c:v>
                </c:pt>
                <c:pt idx="123">
                  <c:v>-99.739487950591496</c:v>
                </c:pt>
                <c:pt idx="124">
                  <c:v>-99.780396167456232</c:v>
                </c:pt>
                <c:pt idx="125">
                  <c:v>-99.821719004122201</c:v>
                </c:pt>
                <c:pt idx="126">
                  <c:v>-99.863459037320752</c:v>
                </c:pt>
                <c:pt idx="127">
                  <c:v>-99.905618889527801</c:v>
                </c:pt>
                <c:pt idx="128">
                  <c:v>-99.948201229894082</c:v>
                </c:pt>
                <c:pt idx="129">
                  <c:v>-99.991208775201159</c:v>
                </c:pt>
                <c:pt idx="130">
                  <c:v>-100.0346442908442</c:v>
                </c:pt>
                <c:pt idx="131">
                  <c:v>-100.0785105918421</c:v>
                </c:pt>
                <c:pt idx="132">
                  <c:v>-100.12281054387626</c:v>
                </c:pt>
                <c:pt idx="133">
                  <c:v>-100.16754706435857</c:v>
                </c:pt>
                <c:pt idx="134">
                  <c:v>-100.21272312352988</c:v>
                </c:pt>
                <c:pt idx="135">
                  <c:v>-100.25834174558979</c:v>
                </c:pt>
                <c:pt idx="136">
                  <c:v>-100.30440600985889</c:v>
                </c:pt>
                <c:pt idx="137">
                  <c:v>-100.35091905197467</c:v>
                </c:pt>
                <c:pt idx="138">
                  <c:v>-100.39788406512194</c:v>
                </c:pt>
                <c:pt idx="139">
                  <c:v>-100.44530430129929</c:v>
                </c:pt>
                <c:pt idx="140">
                  <c:v>-100.49318307262268</c:v>
                </c:pt>
                <c:pt idx="141">
                  <c:v>-100.54152375266744</c:v>
                </c:pt>
                <c:pt idx="142">
                  <c:v>-100.59032977785002</c:v>
                </c:pt>
                <c:pt idx="143">
                  <c:v>-100.63960464885101</c:v>
                </c:pt>
                <c:pt idx="144">
                  <c:v>-100.68935193208073</c:v>
                </c:pt>
                <c:pt idx="145">
                  <c:v>-100.73957526118913</c:v>
                </c:pt>
                <c:pt idx="146">
                  <c:v>-100.79027833862129</c:v>
                </c:pt>
                <c:pt idx="147">
                  <c:v>-100.84146493722047</c:v>
                </c:pt>
                <c:pt idx="148">
                  <c:v>-100.89313890188022</c:v>
                </c:pt>
                <c:pt idx="149">
                  <c:v>-100.94530415124757</c:v>
                </c:pt>
                <c:pt idx="150">
                  <c:v>-100.99796467947888</c:v>
                </c:pt>
                <c:pt idx="151">
                  <c:v>-101.05112455805062</c:v>
                </c:pt>
                <c:pt idx="152">
                  <c:v>-101.10478793762691</c:v>
                </c:pt>
                <c:pt idx="153">
                  <c:v>-101.15895904998612</c:v>
                </c:pt>
                <c:pt idx="154">
                  <c:v>-101.21364221000854</c:v>
                </c:pt>
                <c:pt idx="155">
                  <c:v>-101.26884181772775</c:v>
                </c:pt>
                <c:pt idx="156">
                  <c:v>-101.32456236044777</c:v>
                </c:pt>
                <c:pt idx="157">
                  <c:v>-101.38080841492898</c:v>
                </c:pt>
                <c:pt idx="158">
                  <c:v>-101.43758464964499</c:v>
                </c:pt>
                <c:pt idx="159">
                  <c:v>-101.49489582711355</c:v>
                </c:pt>
                <c:pt idx="160">
                  <c:v>-101.55274680630444</c:v>
                </c:pt>
                <c:pt idx="161">
                  <c:v>-101.61114254512712</c:v>
                </c:pt>
                <c:pt idx="162">
                  <c:v>-101.67008810300156</c:v>
                </c:pt>
                <c:pt idx="163">
                  <c:v>-101.72958864351557</c:v>
                </c:pt>
                <c:pt idx="164">
                  <c:v>-101.78964943717202</c:v>
                </c:pt>
                <c:pt idx="165">
                  <c:v>-101.85027586422964</c:v>
                </c:pt>
                <c:pt idx="166">
                  <c:v>-101.91147341764135</c:v>
                </c:pt>
                <c:pt idx="167">
                  <c:v>-101.973247706094</c:v>
                </c:pt>
                <c:pt idx="168">
                  <c:v>-102.03560445715382</c:v>
                </c:pt>
                <c:pt idx="169">
                  <c:v>-102.09854952052203</c:v>
                </c:pt>
                <c:pt idx="170">
                  <c:v>-102.16208887140507</c:v>
                </c:pt>
                <c:pt idx="171">
                  <c:v>-102.22622861400473</c:v>
                </c:pt>
                <c:pt idx="172">
                  <c:v>-102.29097498513272</c:v>
                </c:pt>
                <c:pt idx="173">
                  <c:v>-102.35633435795565</c:v>
                </c:pt>
                <c:pt idx="174">
                  <c:v>-102.42231324587559</c:v>
                </c:pt>
                <c:pt idx="175">
                  <c:v>-102.48891830655252</c:v>
                </c:pt>
                <c:pt idx="176">
                  <c:v>-102.5561563460746</c:v>
                </c:pt>
                <c:pt idx="177">
                  <c:v>-102.62403432328308</c:v>
                </c:pt>
                <c:pt idx="178">
                  <c:v>-102.69255935425859</c:v>
                </c:pt>
                <c:pt idx="179">
                  <c:v>-102.76173871697614</c:v>
                </c:pt>
                <c:pt idx="180">
                  <c:v>-102.83157985613663</c:v>
                </c:pt>
                <c:pt idx="181">
                  <c:v>-102.90209038818259</c:v>
                </c:pt>
                <c:pt idx="182">
                  <c:v>-102.97327810650708</c:v>
                </c:pt>
                <c:pt idx="183">
                  <c:v>-103.04515098686439</c:v>
                </c:pt>
                <c:pt idx="184">
                  <c:v>-103.11771719299212</c:v>
                </c:pt>
                <c:pt idx="185">
                  <c:v>-103.19098508245467</c:v>
                </c:pt>
                <c:pt idx="186">
                  <c:v>-103.2649632127186</c:v>
                </c:pt>
                <c:pt idx="187">
                  <c:v>-103.33966034747093</c:v>
                </c:pt>
                <c:pt idx="188">
                  <c:v>-103.41508546319226</c:v>
                </c:pt>
                <c:pt idx="189">
                  <c:v>-103.49124775599701</c:v>
                </c:pt>
                <c:pt idx="190">
                  <c:v>-103.56815664875407</c:v>
                </c:pt>
                <c:pt idx="191">
                  <c:v>-103.6458217985015</c:v>
                </c:pt>
                <c:pt idx="192">
                  <c:v>-103.72425310417017</c:v>
                </c:pt>
                <c:pt idx="193">
                  <c:v>-103.80346071463197</c:v>
                </c:pt>
                <c:pt idx="194">
                  <c:v>-103.88345503708872</c:v>
                </c:pt>
                <c:pt idx="195">
                  <c:v>-103.96424674581981</c:v>
                </c:pt>
                <c:pt idx="196">
                  <c:v>-104.04584679130645</c:v>
                </c:pt>
                <c:pt idx="197">
                  <c:v>-104.12826640975285</c:v>
                </c:pt>
                <c:pt idx="198">
                  <c:v>-104.21151713302466</c:v>
                </c:pt>
                <c:pt idx="199">
                  <c:v>-104.29561079902707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1-84BA-4B27-90CF-23E3B49F7A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522992"/>
        <c:axId val="93252758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Calculate!$B$1</c15:sqref>
                        </c15:formulaRef>
                      </c:ext>
                    </c:extLst>
                    <c:strCache>
                      <c:ptCount val="1"/>
                      <c:pt idx="0">
                        <c:v>dF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Calculate!$B$2:$B$201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45000000</c:v>
                      </c:pt>
                      <c:pt idx="1">
                        <c:v>45000000</c:v>
                      </c:pt>
                      <c:pt idx="2">
                        <c:v>45000000</c:v>
                      </c:pt>
                      <c:pt idx="3">
                        <c:v>45000000</c:v>
                      </c:pt>
                      <c:pt idx="4">
                        <c:v>45000000</c:v>
                      </c:pt>
                      <c:pt idx="5">
                        <c:v>45000000</c:v>
                      </c:pt>
                      <c:pt idx="6">
                        <c:v>45000000</c:v>
                      </c:pt>
                      <c:pt idx="7">
                        <c:v>45000000</c:v>
                      </c:pt>
                      <c:pt idx="8">
                        <c:v>45000000</c:v>
                      </c:pt>
                      <c:pt idx="9">
                        <c:v>45000000</c:v>
                      </c:pt>
                      <c:pt idx="10">
                        <c:v>45000000</c:v>
                      </c:pt>
                      <c:pt idx="11">
                        <c:v>45000000</c:v>
                      </c:pt>
                      <c:pt idx="12">
                        <c:v>45000000</c:v>
                      </c:pt>
                      <c:pt idx="13">
                        <c:v>45000000</c:v>
                      </c:pt>
                      <c:pt idx="14">
                        <c:v>45000000</c:v>
                      </c:pt>
                      <c:pt idx="15">
                        <c:v>45000000</c:v>
                      </c:pt>
                      <c:pt idx="16">
                        <c:v>45000000</c:v>
                      </c:pt>
                      <c:pt idx="17">
                        <c:v>45000000</c:v>
                      </c:pt>
                      <c:pt idx="18">
                        <c:v>45000000</c:v>
                      </c:pt>
                      <c:pt idx="19">
                        <c:v>45000000</c:v>
                      </c:pt>
                      <c:pt idx="20">
                        <c:v>45000000</c:v>
                      </c:pt>
                      <c:pt idx="21">
                        <c:v>45000000</c:v>
                      </c:pt>
                      <c:pt idx="22">
                        <c:v>45000000</c:v>
                      </c:pt>
                      <c:pt idx="23">
                        <c:v>45000000</c:v>
                      </c:pt>
                      <c:pt idx="24">
                        <c:v>45000000</c:v>
                      </c:pt>
                      <c:pt idx="25">
                        <c:v>45000000</c:v>
                      </c:pt>
                      <c:pt idx="26">
                        <c:v>45000000</c:v>
                      </c:pt>
                      <c:pt idx="27">
                        <c:v>45000000</c:v>
                      </c:pt>
                      <c:pt idx="28">
                        <c:v>45000000</c:v>
                      </c:pt>
                      <c:pt idx="29">
                        <c:v>45000000</c:v>
                      </c:pt>
                      <c:pt idx="30">
                        <c:v>45000000</c:v>
                      </c:pt>
                      <c:pt idx="31">
                        <c:v>45000000</c:v>
                      </c:pt>
                      <c:pt idx="32">
                        <c:v>45000000</c:v>
                      </c:pt>
                      <c:pt idx="33">
                        <c:v>45000000</c:v>
                      </c:pt>
                      <c:pt idx="34">
                        <c:v>45000000</c:v>
                      </c:pt>
                      <c:pt idx="35">
                        <c:v>45000000</c:v>
                      </c:pt>
                      <c:pt idx="36">
                        <c:v>45000000</c:v>
                      </c:pt>
                      <c:pt idx="37">
                        <c:v>45000000</c:v>
                      </c:pt>
                      <c:pt idx="38">
                        <c:v>45000000</c:v>
                      </c:pt>
                      <c:pt idx="39">
                        <c:v>45000000</c:v>
                      </c:pt>
                      <c:pt idx="40">
                        <c:v>45000000</c:v>
                      </c:pt>
                      <c:pt idx="41">
                        <c:v>45000000</c:v>
                      </c:pt>
                      <c:pt idx="42">
                        <c:v>45000000</c:v>
                      </c:pt>
                      <c:pt idx="43">
                        <c:v>45000000</c:v>
                      </c:pt>
                      <c:pt idx="44">
                        <c:v>45000000</c:v>
                      </c:pt>
                      <c:pt idx="45">
                        <c:v>45000000</c:v>
                      </c:pt>
                      <c:pt idx="46">
                        <c:v>45000000</c:v>
                      </c:pt>
                      <c:pt idx="47">
                        <c:v>45000000</c:v>
                      </c:pt>
                      <c:pt idx="48">
                        <c:v>45000000</c:v>
                      </c:pt>
                      <c:pt idx="49">
                        <c:v>45000000</c:v>
                      </c:pt>
                      <c:pt idx="50">
                        <c:v>45000000</c:v>
                      </c:pt>
                      <c:pt idx="51">
                        <c:v>45000000</c:v>
                      </c:pt>
                      <c:pt idx="52">
                        <c:v>45000000</c:v>
                      </c:pt>
                      <c:pt idx="53">
                        <c:v>45000000</c:v>
                      </c:pt>
                      <c:pt idx="54">
                        <c:v>45000000</c:v>
                      </c:pt>
                      <c:pt idx="55">
                        <c:v>45000000</c:v>
                      </c:pt>
                      <c:pt idx="56">
                        <c:v>45000000</c:v>
                      </c:pt>
                      <c:pt idx="57">
                        <c:v>45000000</c:v>
                      </c:pt>
                      <c:pt idx="58">
                        <c:v>45000000</c:v>
                      </c:pt>
                      <c:pt idx="59">
                        <c:v>45000000</c:v>
                      </c:pt>
                      <c:pt idx="60">
                        <c:v>45000000</c:v>
                      </c:pt>
                      <c:pt idx="61">
                        <c:v>45000000</c:v>
                      </c:pt>
                      <c:pt idx="62">
                        <c:v>45000000</c:v>
                      </c:pt>
                      <c:pt idx="63">
                        <c:v>45000000</c:v>
                      </c:pt>
                      <c:pt idx="64">
                        <c:v>45000000</c:v>
                      </c:pt>
                      <c:pt idx="65">
                        <c:v>45000000</c:v>
                      </c:pt>
                      <c:pt idx="66">
                        <c:v>45000000</c:v>
                      </c:pt>
                      <c:pt idx="67">
                        <c:v>45000000</c:v>
                      </c:pt>
                      <c:pt idx="68">
                        <c:v>45000000</c:v>
                      </c:pt>
                      <c:pt idx="69">
                        <c:v>45000000</c:v>
                      </c:pt>
                      <c:pt idx="70">
                        <c:v>45000000</c:v>
                      </c:pt>
                      <c:pt idx="71">
                        <c:v>45000000</c:v>
                      </c:pt>
                      <c:pt idx="72">
                        <c:v>45000000</c:v>
                      </c:pt>
                      <c:pt idx="73">
                        <c:v>45000000</c:v>
                      </c:pt>
                      <c:pt idx="74">
                        <c:v>45000000</c:v>
                      </c:pt>
                      <c:pt idx="75">
                        <c:v>45000000</c:v>
                      </c:pt>
                      <c:pt idx="76">
                        <c:v>45000000</c:v>
                      </c:pt>
                      <c:pt idx="77">
                        <c:v>45000000</c:v>
                      </c:pt>
                      <c:pt idx="78">
                        <c:v>45000000</c:v>
                      </c:pt>
                      <c:pt idx="79">
                        <c:v>45000000</c:v>
                      </c:pt>
                      <c:pt idx="80">
                        <c:v>45000000</c:v>
                      </c:pt>
                      <c:pt idx="81">
                        <c:v>45000000</c:v>
                      </c:pt>
                      <c:pt idx="82">
                        <c:v>45000000</c:v>
                      </c:pt>
                      <c:pt idx="83">
                        <c:v>45000000</c:v>
                      </c:pt>
                      <c:pt idx="84">
                        <c:v>45000000</c:v>
                      </c:pt>
                      <c:pt idx="85">
                        <c:v>45000000</c:v>
                      </c:pt>
                      <c:pt idx="86">
                        <c:v>45000000</c:v>
                      </c:pt>
                      <c:pt idx="87">
                        <c:v>45000000</c:v>
                      </c:pt>
                      <c:pt idx="88">
                        <c:v>45000000</c:v>
                      </c:pt>
                      <c:pt idx="89">
                        <c:v>45000000</c:v>
                      </c:pt>
                      <c:pt idx="90">
                        <c:v>45000000</c:v>
                      </c:pt>
                      <c:pt idx="91">
                        <c:v>45000000</c:v>
                      </c:pt>
                      <c:pt idx="92">
                        <c:v>45000000</c:v>
                      </c:pt>
                      <c:pt idx="93">
                        <c:v>45000000</c:v>
                      </c:pt>
                      <c:pt idx="94">
                        <c:v>45000000</c:v>
                      </c:pt>
                      <c:pt idx="95">
                        <c:v>45000000</c:v>
                      </c:pt>
                      <c:pt idx="96">
                        <c:v>45000000</c:v>
                      </c:pt>
                      <c:pt idx="97">
                        <c:v>45000000</c:v>
                      </c:pt>
                      <c:pt idx="98">
                        <c:v>45000000</c:v>
                      </c:pt>
                      <c:pt idx="99">
                        <c:v>45000000</c:v>
                      </c:pt>
                      <c:pt idx="100">
                        <c:v>45000000</c:v>
                      </c:pt>
                      <c:pt idx="101">
                        <c:v>45000000</c:v>
                      </c:pt>
                      <c:pt idx="102">
                        <c:v>45000000</c:v>
                      </c:pt>
                      <c:pt idx="103">
                        <c:v>45000000</c:v>
                      </c:pt>
                      <c:pt idx="104">
                        <c:v>45000000</c:v>
                      </c:pt>
                      <c:pt idx="105">
                        <c:v>45000000</c:v>
                      </c:pt>
                      <c:pt idx="106">
                        <c:v>45000000</c:v>
                      </c:pt>
                      <c:pt idx="107">
                        <c:v>45000000</c:v>
                      </c:pt>
                      <c:pt idx="108">
                        <c:v>45000000</c:v>
                      </c:pt>
                      <c:pt idx="109">
                        <c:v>45000000</c:v>
                      </c:pt>
                      <c:pt idx="110">
                        <c:v>45000000</c:v>
                      </c:pt>
                      <c:pt idx="111">
                        <c:v>45000000</c:v>
                      </c:pt>
                      <c:pt idx="112">
                        <c:v>45000000</c:v>
                      </c:pt>
                      <c:pt idx="113">
                        <c:v>45000000</c:v>
                      </c:pt>
                      <c:pt idx="114">
                        <c:v>45000000</c:v>
                      </c:pt>
                      <c:pt idx="115">
                        <c:v>45000000</c:v>
                      </c:pt>
                      <c:pt idx="116">
                        <c:v>45000000</c:v>
                      </c:pt>
                      <c:pt idx="117">
                        <c:v>45000000</c:v>
                      </c:pt>
                      <c:pt idx="118">
                        <c:v>45000000</c:v>
                      </c:pt>
                      <c:pt idx="119">
                        <c:v>45000000</c:v>
                      </c:pt>
                      <c:pt idx="120">
                        <c:v>45000000</c:v>
                      </c:pt>
                      <c:pt idx="121">
                        <c:v>45000000</c:v>
                      </c:pt>
                      <c:pt idx="122">
                        <c:v>45000000</c:v>
                      </c:pt>
                      <c:pt idx="123">
                        <c:v>45000000</c:v>
                      </c:pt>
                      <c:pt idx="124">
                        <c:v>45000000</c:v>
                      </c:pt>
                      <c:pt idx="125">
                        <c:v>45000000</c:v>
                      </c:pt>
                      <c:pt idx="126">
                        <c:v>45000000</c:v>
                      </c:pt>
                      <c:pt idx="127">
                        <c:v>45000000</c:v>
                      </c:pt>
                      <c:pt idx="128">
                        <c:v>45000000</c:v>
                      </c:pt>
                      <c:pt idx="129">
                        <c:v>45000000</c:v>
                      </c:pt>
                      <c:pt idx="130">
                        <c:v>45000000</c:v>
                      </c:pt>
                      <c:pt idx="131">
                        <c:v>45000000</c:v>
                      </c:pt>
                      <c:pt idx="132">
                        <c:v>45000000</c:v>
                      </c:pt>
                      <c:pt idx="133">
                        <c:v>45000000</c:v>
                      </c:pt>
                      <c:pt idx="134">
                        <c:v>45000000</c:v>
                      </c:pt>
                      <c:pt idx="135">
                        <c:v>45000000</c:v>
                      </c:pt>
                      <c:pt idx="136">
                        <c:v>45000000</c:v>
                      </c:pt>
                      <c:pt idx="137">
                        <c:v>45000000</c:v>
                      </c:pt>
                      <c:pt idx="138">
                        <c:v>45000000</c:v>
                      </c:pt>
                      <c:pt idx="139">
                        <c:v>45000000</c:v>
                      </c:pt>
                      <c:pt idx="140">
                        <c:v>45000000</c:v>
                      </c:pt>
                      <c:pt idx="141">
                        <c:v>45000000</c:v>
                      </c:pt>
                      <c:pt idx="142">
                        <c:v>45000000</c:v>
                      </c:pt>
                      <c:pt idx="143">
                        <c:v>45000000</c:v>
                      </c:pt>
                      <c:pt idx="144">
                        <c:v>45000000</c:v>
                      </c:pt>
                      <c:pt idx="145">
                        <c:v>45000000</c:v>
                      </c:pt>
                      <c:pt idx="146">
                        <c:v>45000000</c:v>
                      </c:pt>
                      <c:pt idx="147">
                        <c:v>45000000</c:v>
                      </c:pt>
                      <c:pt idx="148">
                        <c:v>45000000</c:v>
                      </c:pt>
                      <c:pt idx="149">
                        <c:v>45000000</c:v>
                      </c:pt>
                      <c:pt idx="150">
                        <c:v>45000000</c:v>
                      </c:pt>
                      <c:pt idx="151">
                        <c:v>45000000</c:v>
                      </c:pt>
                      <c:pt idx="152">
                        <c:v>45000000</c:v>
                      </c:pt>
                      <c:pt idx="153">
                        <c:v>45000000</c:v>
                      </c:pt>
                      <c:pt idx="154">
                        <c:v>45000000</c:v>
                      </c:pt>
                      <c:pt idx="155">
                        <c:v>45000000</c:v>
                      </c:pt>
                      <c:pt idx="156">
                        <c:v>45000000</c:v>
                      </c:pt>
                      <c:pt idx="157">
                        <c:v>45000000</c:v>
                      </c:pt>
                      <c:pt idx="158">
                        <c:v>45000000</c:v>
                      </c:pt>
                      <c:pt idx="159">
                        <c:v>45000000</c:v>
                      </c:pt>
                      <c:pt idx="160">
                        <c:v>45000000</c:v>
                      </c:pt>
                      <c:pt idx="161">
                        <c:v>45000000</c:v>
                      </c:pt>
                      <c:pt idx="162">
                        <c:v>45000000</c:v>
                      </c:pt>
                      <c:pt idx="163">
                        <c:v>45000000</c:v>
                      </c:pt>
                      <c:pt idx="164">
                        <c:v>45000000</c:v>
                      </c:pt>
                      <c:pt idx="165">
                        <c:v>45000000</c:v>
                      </c:pt>
                      <c:pt idx="166">
                        <c:v>45000000</c:v>
                      </c:pt>
                      <c:pt idx="167">
                        <c:v>45000000</c:v>
                      </c:pt>
                      <c:pt idx="168">
                        <c:v>45000000</c:v>
                      </c:pt>
                      <c:pt idx="169">
                        <c:v>45000000</c:v>
                      </c:pt>
                      <c:pt idx="170">
                        <c:v>45000000</c:v>
                      </c:pt>
                      <c:pt idx="171">
                        <c:v>45000000</c:v>
                      </c:pt>
                      <c:pt idx="172">
                        <c:v>45000000</c:v>
                      </c:pt>
                      <c:pt idx="173">
                        <c:v>45000000</c:v>
                      </c:pt>
                      <c:pt idx="174">
                        <c:v>45000000</c:v>
                      </c:pt>
                      <c:pt idx="175">
                        <c:v>45000000</c:v>
                      </c:pt>
                      <c:pt idx="176">
                        <c:v>45000000</c:v>
                      </c:pt>
                      <c:pt idx="177">
                        <c:v>45000000</c:v>
                      </c:pt>
                      <c:pt idx="178">
                        <c:v>45000000</c:v>
                      </c:pt>
                      <c:pt idx="179">
                        <c:v>45000000</c:v>
                      </c:pt>
                      <c:pt idx="180">
                        <c:v>45000000</c:v>
                      </c:pt>
                      <c:pt idx="181">
                        <c:v>45000000</c:v>
                      </c:pt>
                      <c:pt idx="182">
                        <c:v>45000000</c:v>
                      </c:pt>
                      <c:pt idx="183">
                        <c:v>45000000</c:v>
                      </c:pt>
                      <c:pt idx="184">
                        <c:v>45000000</c:v>
                      </c:pt>
                      <c:pt idx="185">
                        <c:v>45000000</c:v>
                      </c:pt>
                      <c:pt idx="186">
                        <c:v>45000000</c:v>
                      </c:pt>
                      <c:pt idx="187">
                        <c:v>45000000</c:v>
                      </c:pt>
                      <c:pt idx="188">
                        <c:v>45000000</c:v>
                      </c:pt>
                      <c:pt idx="189">
                        <c:v>45000000</c:v>
                      </c:pt>
                      <c:pt idx="190">
                        <c:v>45000000</c:v>
                      </c:pt>
                      <c:pt idx="191">
                        <c:v>45000000</c:v>
                      </c:pt>
                      <c:pt idx="192">
                        <c:v>45000000</c:v>
                      </c:pt>
                      <c:pt idx="193">
                        <c:v>45000000</c:v>
                      </c:pt>
                      <c:pt idx="194">
                        <c:v>45000000</c:v>
                      </c:pt>
                      <c:pt idx="195">
                        <c:v>45000000</c:v>
                      </c:pt>
                      <c:pt idx="196">
                        <c:v>45000000</c:v>
                      </c:pt>
                      <c:pt idx="197">
                        <c:v>45000000</c:v>
                      </c:pt>
                      <c:pt idx="198">
                        <c:v>45000000</c:v>
                      </c:pt>
                      <c:pt idx="199">
                        <c:v>45000000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84BA-4B27-90CF-23E3B49F7A94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Calculate!$E$1</c15:sqref>
                        </c15:formulaRef>
                      </c:ext>
                    </c:extLst>
                    <c:strCache>
                      <c:ptCount val="1"/>
                      <c:pt idx="0">
                        <c:v>IL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Calculate!$E$2:$E$201</c15:sqref>
                        </c15:formulaRef>
                      </c:ext>
                    </c:extLst>
                    <c:numCache>
                      <c:formatCode>0.00E+00</c:formatCode>
                      <c:ptCount val="200"/>
                      <c:pt idx="0">
                        <c:v>-1.6447868570683462</c:v>
                      </c:pt>
                      <c:pt idx="1">
                        <c:v>-2.360552562503381</c:v>
                      </c:pt>
                      <c:pt idx="2">
                        <c:v>-2.9234713745604055</c:v>
                      </c:pt>
                      <c:pt idx="3">
                        <c:v>-3.4072708126354634</c:v>
                      </c:pt>
                      <c:pt idx="4">
                        <c:v>-3.8405086106511099</c:v>
                      </c:pt>
                      <c:pt idx="5">
                        <c:v>-4.2378309131857677</c:v>
                      </c:pt>
                      <c:pt idx="6">
                        <c:v>-4.6079382019252728</c:v>
                      </c:pt>
                      <c:pt idx="7">
                        <c:v>-4.9564993220043041</c:v>
                      </c:pt>
                      <c:pt idx="8">
                        <c:v>-5.2874518667013506</c:v>
                      </c:pt>
                      <c:pt idx="9">
                        <c:v>-5.603662773714996</c:v>
                      </c:pt>
                      <c:pt idx="10">
                        <c:v>-5.9072963494298989</c:v>
                      </c:pt>
                      <c:pt idx="11">
                        <c:v>-6.2000340446171247</c:v>
                      </c:pt>
                      <c:pt idx="12">
                        <c:v>-6.4832130288058645</c:v>
                      </c:pt>
                      <c:pt idx="13">
                        <c:v>-6.7579174739099761</c:v>
                      </c:pt>
                      <c:pt idx="14">
                        <c:v>-7.0250408930359889</c:v>
                      </c:pt>
                      <c:pt idx="15">
                        <c:v>-7.2853300192660111</c:v>
                      </c:pt>
                      <c:pt idx="16">
                        <c:v>-7.5394164960904622</c:v>
                      </c:pt>
                      <c:pt idx="17">
                        <c:v>-7.7878402785027694</c:v>
                      </c:pt>
                      <c:pt idx="18">
                        <c:v>-8.0310672502110751</c:v>
                      </c:pt>
                      <c:pt idx="19">
                        <c:v>-8.2695027137960739</c:v>
                      </c:pt>
                      <c:pt idx="20">
                        <c:v>-8.5035018773476576</c:v>
                      </c:pt>
                      <c:pt idx="21">
                        <c:v>-8.7333781165882343</c:v>
                      </c:pt>
                      <c:pt idx="22">
                        <c:v>-8.9594095634032698</c:v>
                      </c:pt>
                      <c:pt idx="23">
                        <c:v>-9.1818444173641609</c:v>
                      </c:pt>
                      <c:pt idx="24">
                        <c:v>-9.4009052703294405</c:v>
                      </c:pt>
                      <c:pt idx="25">
                        <c:v>-9.6167926594072224</c:v>
                      </c:pt>
                      <c:pt idx="26">
                        <c:v>-9.8296880101701554</c:v>
                      </c:pt>
                      <c:pt idx="27">
                        <c:v>-10.039756093341939</c:v>
                      </c:pt>
                      <c:pt idx="28">
                        <c:v>-10.247147089785292</c:v>
                      </c:pt>
                      <c:pt idx="29">
                        <c:v>-10.451998337521728</c:v>
                      </c:pt>
                      <c:pt idx="30">
                        <c:v>-10.654435818652308</c:v>
                      </c:pt>
                      <c:pt idx="31">
                        <c:v>-10.854575431998777</c:v>
                      </c:pt>
                      <c:pt idx="32">
                        <c:v>-11.052524088040251</c:v>
                      </c:pt>
                      <c:pt idx="33">
                        <c:v>-11.248380655563825</c:v>
                      </c:pt>
                      <c:pt idx="34">
                        <c:v>-11.44223678385946</c:v>
                      </c:pt>
                      <c:pt idx="35">
                        <c:v>-11.63417761989164</c:v>
                      </c:pt>
                      <c:pt idx="36">
                        <c:v>-11.824282436393002</c:v>
                      </c:pt>
                      <c:pt idx="37">
                        <c:v>-12.012625184040772</c:v>
                      </c:pt>
                      <c:pt idx="38">
                        <c:v>-12.199274978638783</c:v>
                      </c:pt>
                      <c:pt idx="39">
                        <c:v>-12.384296532417702</c:v>
                      </c:pt>
                      <c:pt idx="40">
                        <c:v>-12.567750537093628</c:v>
                      </c:pt>
                      <c:pt idx="41">
                        <c:v>-12.74969400512062</c:v>
                      </c:pt>
                      <c:pt idx="42">
                        <c:v>-12.930180574581952</c:v>
                      </c:pt>
                      <c:pt idx="43">
                        <c:v>-13.109260782346279</c:v>
                      </c:pt>
                      <c:pt idx="44">
                        <c:v>-13.286982309434892</c:v>
                      </c:pt>
                      <c:pt idx="45">
                        <c:v>-13.463390201979218</c:v>
                      </c:pt>
                      <c:pt idx="46">
                        <c:v>-13.638527070672421</c:v>
                      </c:pt>
                      <c:pt idx="47">
                        <c:v>-13.812433271219499</c:v>
                      </c:pt>
                      <c:pt idx="48">
                        <c:v>-13.985147067952616</c:v>
                      </c:pt>
                      <c:pt idx="49">
                        <c:v>-14.156704782492326</c:v>
                      </c:pt>
                      <c:pt idx="50">
                        <c:v>-14.327140929092124</c:v>
                      </c:pt>
                      <c:pt idx="51">
                        <c:v>-14.496488338095752</c:v>
                      </c:pt>
                      <c:pt idx="52">
                        <c:v>-14.664778268759056</c:v>
                      </c:pt>
                      <c:pt idx="53">
                        <c:v>-14.832040512535178</c:v>
                      </c:pt>
                      <c:pt idx="54">
                        <c:v>-14.998303487790231</c:v>
                      </c:pt>
                      <c:pt idx="55">
                        <c:v>-15.163594326802745</c:v>
                      </c:pt>
                      <c:pt idx="56">
                        <c:v>-15.327938955801581</c:v>
                      </c:pt>
                      <c:pt idx="57">
                        <c:v>-15.491362168711314</c:v>
                      </c:pt>
                      <c:pt idx="58">
                        <c:v>-15.653887695199288</c:v>
                      </c:pt>
                      <c:pt idx="59">
                        <c:v>-15.815538263553544</c:v>
                      </c:pt>
                      <c:pt idx="60">
                        <c:v>-15.976335658863499</c:v>
                      </c:pt>
                      <c:pt idx="61">
                        <c:v>-16.136300776925363</c:v>
                      </c:pt>
                      <c:pt idx="62">
                        <c:v>-16.295453674250005</c:v>
                      </c:pt>
                      <c:pt idx="63">
                        <c:v>-16.453813614512352</c:v>
                      </c:pt>
                      <c:pt idx="64">
                        <c:v>-16.611399111746962</c:v>
                      </c:pt>
                      <c:pt idx="65">
                        <c:v>-16.768227970564045</c:v>
                      </c:pt>
                      <c:pt idx="66">
                        <c:v>-16.92431732363346</c:v>
                      </c:pt>
                      <c:pt idx="67">
                        <c:v>-17.079683666660031</c:v>
                      </c:pt>
                      <c:pt idx="68">
                        <c:v>-17.234342891052489</c:v>
                      </c:pt>
                      <c:pt idx="69">
                        <c:v>-17.38831031446917</c:v>
                      </c:pt>
                      <c:pt idx="70">
                        <c:v>-17.541600709406801</c:v>
                      </c:pt>
                      <c:pt idx="71">
                        <c:v>-17.694228329983414</c:v>
                      </c:pt>
                      <c:pt idx="72">
                        <c:v>-17.846206937052884</c:v>
                      </c:pt>
                      <c:pt idx="73">
                        <c:v>-17.997549821776396</c:v>
                      </c:pt>
                      <c:pt idx="74">
                        <c:v>-18.148269827765159</c:v>
                      </c:pt>
                      <c:pt idx="75">
                        <c:v>-18.298379371898797</c:v>
                      </c:pt>
                      <c:pt idx="76">
                        <c:v>-18.447890463914987</c:v>
                      </c:pt>
                      <c:pt idx="77">
                        <c:v>-18.596814724857769</c:v>
                      </c:pt>
                      <c:pt idx="78">
                        <c:v>-18.745163404464869</c:v>
                      </c:pt>
                      <c:pt idx="79">
                        <c:v>-18.892947397567564</c:v>
                      </c:pt>
                      <c:pt idx="80">
                        <c:v>-19.040177259570868</c:v>
                      </c:pt>
                      <c:pt idx="81">
                        <c:v>-19.18686322107623</c:v>
                      </c:pt>
                      <c:pt idx="82">
                        <c:v>-19.333015201704136</c:v>
                      </c:pt>
                      <c:pt idx="83">
                        <c:v>-19.478642823169505</c:v>
                      </c:pt>
                      <c:pt idx="84">
                        <c:v>-19.623755421658522</c:v>
                      </c:pt>
                      <c:pt idx="85">
                        <c:v>-19.768362059552224</c:v>
                      </c:pt>
                      <c:pt idx="86">
                        <c:v>-19.912471536538227</c:v>
                      </c:pt>
                      <c:pt idx="87">
                        <c:v>-20.056092400149428</c:v>
                      </c:pt>
                      <c:pt idx="88">
                        <c:v>-20.199232955765162</c:v>
                      </c:pt>
                      <c:pt idx="89">
                        <c:v>-20.341901276108118</c:v>
                      </c:pt>
                      <c:pt idx="90">
                        <c:v>-20.484105210267689</c:v>
                      </c:pt>
                      <c:pt idx="91">
                        <c:v>-20.625852392278269</c:v>
                      </c:pt>
                      <c:pt idx="92">
                        <c:v>-20.767150249279045</c:v>
                      </c:pt>
                      <c:pt idx="93">
                        <c:v>-20.908006009280061</c:v>
                      </c:pt>
                      <c:pt idx="94">
                        <c:v>-21.048426708557365</c:v>
                      </c:pt>
                      <c:pt idx="95">
                        <c:v>-21.188419198698824</c:v>
                      </c:pt>
                      <c:pt idx="96">
                        <c:v>-21.327990153320474</c:v>
                      </c:pt>
                      <c:pt idx="97">
                        <c:v>-21.467146074472051</c:v>
                      </c:pt>
                      <c:pt idx="98">
                        <c:v>-21.605893298749137</c:v>
                      </c:pt>
                      <c:pt idx="99">
                        <c:v>-21.744238003128153</c:v>
                      </c:pt>
                      <c:pt idx="100">
                        <c:v>-21.88218621053942</c:v>
                      </c:pt>
                      <c:pt idx="101">
                        <c:v>-22.019743795192511</c:v>
                      </c:pt>
                      <c:pt idx="102">
                        <c:v>-22.156916487667186</c:v>
                      </c:pt>
                      <c:pt idx="103">
                        <c:v>-22.29370987978249</c:v>
                      </c:pt>
                      <c:pt idx="104">
                        <c:v>-22.430129429255643</c:v>
                      </c:pt>
                      <c:pt idx="105">
                        <c:v>-22.566180464161668</c:v>
                      </c:pt>
                      <c:pt idx="106">
                        <c:v>-22.701868187204219</c:v>
                      </c:pt>
                      <c:pt idx="107">
                        <c:v>-22.837197679807126</c:v>
                      </c:pt>
                      <c:pt idx="108">
                        <c:v>-22.972173906035895</c:v>
                      </c:pt>
                      <c:pt idx="109">
                        <c:v>-23.106801716357637</c:v>
                      </c:pt>
                      <c:pt idx="110">
                        <c:v>-23.241085851247544</c:v>
                      </c:pt>
                      <c:pt idx="111">
                        <c:v>-23.375030944649467</c:v>
                      </c:pt>
                      <c:pt idx="112">
                        <c:v>-23.508641527297751</c:v>
                      </c:pt>
                      <c:pt idx="113">
                        <c:v>-23.641922029907107</c:v>
                      </c:pt>
                      <c:pt idx="114">
                        <c:v>-23.774876786236735</c:v>
                      </c:pt>
                      <c:pt idx="115">
                        <c:v>-23.907510036034942</c:v>
                      </c:pt>
                      <c:pt idx="116">
                        <c:v>-24.039825927869661</c:v>
                      </c:pt>
                      <c:pt idx="117">
                        <c:v>-24.171828521850376</c:v>
                      </c:pt>
                      <c:pt idx="118">
                        <c:v>-24.303521792246432</c:v>
                      </c:pt>
                      <c:pt idx="119">
                        <c:v>-24.434909630006583</c:v>
                      </c:pt>
                      <c:pt idx="120">
                        <c:v>-24.565995845184208</c:v>
                      </c:pt>
                      <c:pt idx="121">
                        <c:v>-24.696784169272505</c:v>
                      </c:pt>
                      <c:pt idx="122">
                        <c:v>-24.82727825745377</c:v>
                      </c:pt>
                      <c:pt idx="123">
                        <c:v>-24.957481690766517</c:v>
                      </c:pt>
                      <c:pt idx="124">
                        <c:v>-25.087397978194097</c:v>
                      </c:pt>
                      <c:pt idx="125">
                        <c:v>-25.217030558678303</c:v>
                      </c:pt>
                      <c:pt idx="126">
                        <c:v>-25.346382803061196</c:v>
                      </c:pt>
                      <c:pt idx="127">
                        <c:v>-25.475458015958221</c:v>
                      </c:pt>
                      <c:pt idx="128">
                        <c:v>-25.604259437565645</c:v>
                      </c:pt>
                      <c:pt idx="129">
                        <c:v>-25.73279024540502</c:v>
                      </c:pt>
                      <c:pt idx="130">
                        <c:v>-25.861053556007434</c:v>
                      </c:pt>
                      <c:pt idx="131">
                        <c:v>-25.989052426539949</c:v>
                      </c:pt>
                      <c:pt idx="132">
                        <c:v>-26.116789856376712</c:v>
                      </c:pt>
                      <c:pt idx="133">
                        <c:v>-26.244268788617067</c:v>
                      </c:pt>
                      <c:pt idx="134">
                        <c:v>-26.371492111552655</c:v>
                      </c:pt>
                      <c:pt idx="135">
                        <c:v>-26.49846266008586</c:v>
                      </c:pt>
                      <c:pt idx="136">
                        <c:v>-26.625183217101231</c:v>
                      </c:pt>
                      <c:pt idx="137">
                        <c:v>-26.751656514792085</c:v>
                      </c:pt>
                      <c:pt idx="138">
                        <c:v>-26.87788523594384</c:v>
                      </c:pt>
                      <c:pt idx="139">
                        <c:v>-27.003872015175904</c:v>
                      </c:pt>
                      <c:pt idx="140">
                        <c:v>-27.129619440143731</c:v>
                      </c:pt>
                      <c:pt idx="141">
                        <c:v>-27.255130052702548</c:v>
                      </c:pt>
                      <c:pt idx="142">
                        <c:v>-27.38040635003426</c:v>
                      </c:pt>
                      <c:pt idx="143">
                        <c:v>-27.505450785739033</c:v>
                      </c:pt>
                      <c:pt idx="144">
                        <c:v>-27.630265770892713</c:v>
                      </c:pt>
                      <c:pt idx="145">
                        <c:v>-27.754853675071558</c:v>
                      </c:pt>
                      <c:pt idx="146">
                        <c:v>-27.87921682734541</c:v>
                      </c:pt>
                      <c:pt idx="147">
                        <c:v>-28.003357517240524</c:v>
                      </c:pt>
                      <c:pt idx="148">
                        <c:v>-28.127277995673175</c:v>
                      </c:pt>
                      <c:pt idx="149">
                        <c:v>-28.250980475855094</c:v>
                      </c:pt>
                      <c:pt idx="150">
                        <c:v>-28.374467134171809</c:v>
                      </c:pt>
                      <c:pt idx="151">
                        <c:v>-28.497740111034837</c:v>
                      </c:pt>
                      <c:pt idx="152">
                        <c:v>-28.620801511708706</c:v>
                      </c:pt>
                      <c:pt idx="153">
                        <c:v>-28.743653407113655</c:v>
                      </c:pt>
                      <c:pt idx="154">
                        <c:v>-28.866297834604957</c:v>
                      </c:pt>
                      <c:pt idx="155">
                        <c:v>-28.988736798729636</c:v>
                      </c:pt>
                      <c:pt idx="156">
                        <c:v>-29.110972271961383</c:v>
                      </c:pt>
                      <c:pt idx="157">
                        <c:v>-29.233006195414447</c:v>
                      </c:pt>
                      <c:pt idx="158">
                        <c:v>-29.354840479537224</c:v>
                      </c:pt>
                      <c:pt idx="159">
                        <c:v>-29.47647700478624</c:v>
                      </c:pt>
                      <c:pt idx="160">
                        <c:v>-29.597917622281244</c:v>
                      </c:pt>
                      <c:pt idx="161">
                        <c:v>-29.719164154441941</c:v>
                      </c:pt>
                      <c:pt idx="162">
                        <c:v>-29.840218395607156</c:v>
                      </c:pt>
                      <c:pt idx="163">
                        <c:v>-29.96108211263687</c:v>
                      </c:pt>
                      <c:pt idx="164">
                        <c:v>-30.08175704549776</c:v>
                      </c:pt>
                      <c:pt idx="165">
                        <c:v>-30.202244907832856</c:v>
                      </c:pt>
                      <c:pt idx="166">
                        <c:v>-30.322547387515698</c:v>
                      </c:pt>
                      <c:pt idx="167">
                        <c:v>-30.44266614718962</c:v>
                      </c:pt>
                      <c:pt idx="168">
                        <c:v>-30.562602824792627</c:v>
                      </c:pt>
                      <c:pt idx="169">
                        <c:v>-30.682359034068302</c:v>
                      </c:pt>
                      <c:pt idx="170">
                        <c:v>-30.80193636506317</c:v>
                      </c:pt>
                      <c:pt idx="171">
                        <c:v>-30.921336384611056</c:v>
                      </c:pt>
                      <c:pt idx="172">
                        <c:v>-31.040560636804756</c:v>
                      </c:pt>
                      <c:pt idx="173">
                        <c:v>-31.159610643455469</c:v>
                      </c:pt>
                      <c:pt idx="174">
                        <c:v>-31.278487904540327</c:v>
                      </c:pt>
                      <c:pt idx="175">
                        <c:v>-31.397193898638477</c:v>
                      </c:pt>
                      <c:pt idx="176">
                        <c:v>-31.515730083356026</c:v>
                      </c:pt>
                      <c:pt idx="177">
                        <c:v>-31.634097895740169</c:v>
                      </c:pt>
                      <c:pt idx="178">
                        <c:v>-31.752298752682883</c:v>
                      </c:pt>
                      <c:pt idx="179">
                        <c:v>-31.870334051314476</c:v>
                      </c:pt>
                      <c:pt idx="180">
                        <c:v>-31.988205169387328</c:v>
                      </c:pt>
                      <c:pt idx="181">
                        <c:v>-32.105913465650069</c:v>
                      </c:pt>
                      <c:pt idx="182">
                        <c:v>-32.223460280212564</c:v>
                      </c:pt>
                      <c:pt idx="183">
                        <c:v>-32.340846934901904</c:v>
                      </c:pt>
                      <c:pt idx="184">
                        <c:v>-32.458074733609699</c:v>
                      </c:pt>
                      <c:pt idx="185">
                        <c:v>-32.575144962630965</c:v>
                      </c:pt>
                      <c:pt idx="186">
                        <c:v>-32.692058890994794</c:v>
                      </c:pt>
                      <c:pt idx="187">
                        <c:v>-32.80881777078708</c:v>
                      </c:pt>
                      <c:pt idx="188">
                        <c:v>-32.925422837465547</c:v>
                      </c:pt>
                      <c:pt idx="189">
                        <c:v>-33.041875310167256</c:v>
                      </c:pt>
                      <c:pt idx="190">
                        <c:v>-33.158176392008919</c:v>
                      </c:pt>
                      <c:pt idx="191">
                        <c:v>-33.274327270380006</c:v>
                      </c:pt>
                      <c:pt idx="192">
                        <c:v>-33.390329117229108</c:v>
                      </c:pt>
                      <c:pt idx="193">
                        <c:v>-33.506183089343615</c:v>
                      </c:pt>
                      <c:pt idx="194">
                        <c:v>-33.621890328622854</c:v>
                      </c:pt>
                      <c:pt idx="195">
                        <c:v>-33.737451962345006</c:v>
                      </c:pt>
                      <c:pt idx="196">
                        <c:v>-33.852869103427842</c:v>
                      </c:pt>
                      <c:pt idx="197">
                        <c:v>-33.968142850683591</c:v>
                      </c:pt>
                      <c:pt idx="198">
                        <c:v>-34.083274289067873</c:v>
                      </c:pt>
                      <c:pt idx="199">
                        <c:v>-34.198264489923204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4BA-4B27-90CF-23E3B49F7A94}"/>
                  </c:ext>
                </c:extLst>
              </c15:ser>
            </c15:filteredScatterSeries>
            <c15:filteredScatterSeries>
              <c15:ser>
                <c:idx val="16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Calculate!$V$1</c15:sqref>
                        </c15:formulaRef>
                      </c:ext>
                    </c:extLst>
                    <c:strCache>
                      <c:ptCount val="1"/>
                      <c:pt idx="0">
                        <c:v>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Calculate!$V$2:$V$201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84BA-4B27-90CF-23E3B49F7A94}"/>
                  </c:ext>
                </c:extLst>
              </c15:ser>
            </c15:filteredScatterSeries>
            <c15:filteredScatterSeries>
              <c15:ser>
                <c:idx val="4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Calculate!$H$1</c15:sqref>
                        </c15:formulaRef>
                      </c:ext>
                    </c:extLst>
                    <c:strCache>
                      <c:ptCount val="1"/>
                      <c:pt idx="0">
                        <c:v>Rx_PSD_us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Calculate!$H$2:$H$201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84BA-4B27-90CF-23E3B49F7A94}"/>
                  </c:ext>
                </c:extLst>
              </c15:ser>
            </c15:filteredScatterSeries>
            <c15:filteredScatterSeries>
              <c15:ser>
                <c:idx val="5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Calculate!$I$1</c15:sqref>
                        </c15:formulaRef>
                      </c:ext>
                    </c:extLst>
                    <c:strCache>
                      <c:ptCount val="1"/>
                      <c:pt idx="0">
                        <c:v>Rx_PSD_ds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Calculate!$I$2:$I$201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-99.005258561685238</c:v>
                      </c:pt>
                      <c:pt idx="1">
                        <c:v>-99.721463193142029</c:v>
                      </c:pt>
                      <c:pt idx="2">
                        <c:v>-100.28511356828561</c:v>
                      </c:pt>
                      <c:pt idx="3">
                        <c:v>-100.76993723609145</c:v>
                      </c:pt>
                      <c:pt idx="4">
                        <c:v>-101.20449197190135</c:v>
                      </c:pt>
                      <c:pt idx="5">
                        <c:v>-101.60342397356061</c:v>
                      </c:pt>
                      <c:pt idx="6">
                        <c:v>-101.97543378787999</c:v>
                      </c:pt>
                      <c:pt idx="7">
                        <c:v>-102.32619033698964</c:v>
                      </c:pt>
                      <c:pt idx="8">
                        <c:v>-102.6596313030489</c:v>
                      </c:pt>
                      <c:pt idx="9">
                        <c:v>-102.97862372453973</c:v>
                      </c:pt>
                      <c:pt idx="10">
                        <c:v>-103.28533202055218</c:v>
                      </c:pt>
                      <c:pt idx="11">
                        <c:v>-103.58143776650645</c:v>
                      </c:pt>
                      <c:pt idx="12">
                        <c:v>-103.86827826854879</c:v>
                      </c:pt>
                      <c:pt idx="13">
                        <c:v>-104.14693784720436</c:v>
                      </c:pt>
                      <c:pt idx="14">
                        <c:v>-104.41831017621412</c:v>
                      </c:pt>
                      <c:pt idx="15">
                        <c:v>-104.68314216134881</c:v>
                      </c:pt>
                      <c:pt idx="16">
                        <c:v>-104.94206563087526</c:v>
                      </c:pt>
                      <c:pt idx="17">
                        <c:v>-105.19562073668693</c:v>
                      </c:pt>
                      <c:pt idx="18">
                        <c:v>-105.44427357155399</c:v>
                      </c:pt>
                      <c:pt idx="19">
                        <c:v>-105.68842965932183</c:v>
                      </c:pt>
                      <c:pt idx="20">
                        <c:v>-105.92844444159088</c:v>
                      </c:pt>
                      <c:pt idx="21">
                        <c:v>-106.16463153988556</c:v>
                      </c:pt>
                      <c:pt idx="22">
                        <c:v>-106.39726934423297</c:v>
                      </c:pt>
                      <c:pt idx="23">
                        <c:v>-106.6266063247362</c:v>
                      </c:pt>
                      <c:pt idx="24">
                        <c:v>-106.85286535622883</c:v>
                      </c:pt>
                      <c:pt idx="25">
                        <c:v>-107.07624727129289</c:v>
                      </c:pt>
                      <c:pt idx="26">
                        <c:v>-107.29693380353213</c:v>
                      </c:pt>
                      <c:pt idx="27">
                        <c:v>-107.51509004431925</c:v>
                      </c:pt>
                      <c:pt idx="28">
                        <c:v>-107.7308665078474</c:v>
                      </c:pt>
                      <c:pt idx="29">
                        <c:v>-107.94440087821594</c:v>
                      </c:pt>
                      <c:pt idx="30">
                        <c:v>-108.15581949641998</c:v>
                      </c:pt>
                      <c:pt idx="31">
                        <c:v>-108.36523863306296</c:v>
                      </c:pt>
                      <c:pt idx="32">
                        <c:v>-108.57276558336756</c:v>
                      </c:pt>
                      <c:pt idx="33">
                        <c:v>-108.77849961390318</c:v>
                      </c:pt>
                      <c:pt idx="34">
                        <c:v>-108.98253278486074</c:v>
                      </c:pt>
                      <c:pt idx="35">
                        <c:v>-109.18495066730684</c:v>
                      </c:pt>
                      <c:pt idx="36">
                        <c:v>-109.38583297136282</c:v>
                      </c:pt>
                      <c:pt idx="37">
                        <c:v>-109.58525409846976</c:v>
                      </c:pt>
                      <c:pt idx="38">
                        <c:v>-109.78328362866174</c:v>
                      </c:pt>
                      <c:pt idx="39">
                        <c:v>-109.9799867519604</c:v>
                      </c:pt>
                      <c:pt idx="40">
                        <c:v>-110.17542465153103</c:v>
                      </c:pt>
                      <c:pt idx="41">
                        <c:v>-110.36965484503551</c:v>
                      </c:pt>
                      <c:pt idx="42">
                        <c:v>-110.56273148962721</c:v>
                      </c:pt>
                      <c:pt idx="43">
                        <c:v>-110.75470565521388</c:v>
                      </c:pt>
                      <c:pt idx="44">
                        <c:v>-110.945625569935</c:v>
                      </c:pt>
                      <c:pt idx="45">
                        <c:v>-111.13553684123256</c:v>
                      </c:pt>
                      <c:pt idx="46">
                        <c:v>-111.32448265541927</c:v>
                      </c:pt>
                      <c:pt idx="47">
                        <c:v>-111.5125039582487</c:v>
                      </c:pt>
                      <c:pt idx="48">
                        <c:v>-111.69963961865405</c:v>
                      </c:pt>
                      <c:pt idx="49">
                        <c:v>-111.88592657753635</c:v>
                      </c:pt>
                      <c:pt idx="50">
                        <c:v>-112.07139998323956</c:v>
                      </c:pt>
                      <c:pt idx="51">
                        <c:v>-112.25609331514201</c:v>
                      </c:pt>
                      <c:pt idx="52">
                        <c:v>-112.44003849661608</c:v>
                      </c:pt>
                      <c:pt idx="53">
                        <c:v>-112.62326599845505</c:v>
                      </c:pt>
                      <c:pt idx="54">
                        <c:v>-112.80580493373412</c:v>
                      </c:pt>
                      <c:pt idx="55">
                        <c:v>-112.98768314495925</c:v>
                      </c:pt>
                      <c:pt idx="56">
                        <c:v>-113.16892728425832</c:v>
                      </c:pt>
                      <c:pt idx="57">
                        <c:v>-113.34956288728385</c:v>
                      </c:pt>
                      <c:pt idx="58">
                        <c:v>-113.5296144414215</c:v>
                      </c:pt>
                      <c:pt idx="59">
                        <c:v>-113.70910544883371</c:v>
                      </c:pt>
                      <c:pt idx="60">
                        <c:v>-113.88805848481024</c:v>
                      </c:pt>
                      <c:pt idx="61">
                        <c:v>-114.06649525184797</c:v>
                      </c:pt>
                      <c:pt idx="62">
                        <c:v>-114.24443662983751</c:v>
                      </c:pt>
                      <c:pt idx="63">
                        <c:v>-114.42190272269588</c:v>
                      </c:pt>
                      <c:pt idx="64">
                        <c:v>-114.59891290175011</c:v>
                      </c:pt>
                      <c:pt idx="65">
                        <c:v>-114.77548584614598</c:v>
                      </c:pt>
                      <c:pt idx="66">
                        <c:v>-114.95163958052949</c:v>
                      </c:pt>
                      <c:pt idx="67">
                        <c:v>-115.12739151022471</c:v>
                      </c:pt>
                      <c:pt idx="68">
                        <c:v>-115.30275845411028</c:v>
                      </c:pt>
                      <c:pt idx="69">
                        <c:v>-115.47775667537772</c:v>
                      </c:pt>
                      <c:pt idx="70">
                        <c:v>-115.65240191033834</c:v>
                      </c:pt>
                      <c:pt idx="71">
                        <c:v>-115.82670939542935</c:v>
                      </c:pt>
                      <c:pt idx="72">
                        <c:v>-116.00069389255736</c:v>
                      </c:pt>
                      <c:pt idx="73">
                        <c:v>-116.17436971290437</c:v>
                      </c:pt>
                      <c:pt idx="74">
                        <c:v>-116.34775073931056</c:v>
                      </c:pt>
                      <c:pt idx="75">
                        <c:v>-116.52085044733911</c:v>
                      </c:pt>
                      <c:pt idx="76">
                        <c:v>-116.6936819251178</c:v>
                      </c:pt>
                      <c:pt idx="77">
                        <c:v>-116.86625789204574</c:v>
                      </c:pt>
                      <c:pt idx="78">
                        <c:v>-117.03859071644536</c:v>
                      </c:pt>
                      <c:pt idx="79">
                        <c:v>-117.21069243223339</c:v>
                      </c:pt>
                      <c:pt idx="80">
                        <c:v>-117.38257475467871</c:v>
                      </c:pt>
                      <c:pt idx="81">
                        <c:v>-117.55424909530973</c:v>
                      </c:pt>
                      <c:pt idx="82">
                        <c:v>-117.72572657602819</c:v>
                      </c:pt>
                      <c:pt idx="83">
                        <c:v>-117.89701804248334</c:v>
                      </c:pt>
                      <c:pt idx="84">
                        <c:v>-118.06813407675449</c:v>
                      </c:pt>
                      <c:pt idx="85">
                        <c:v>-118.23908500938788</c:v>
                      </c:pt>
                      <c:pt idx="86">
                        <c:v>-118.40988093082939</c:v>
                      </c:pt>
                      <c:pt idx="87">
                        <c:v>-118.58053170229205</c:v>
                      </c:pt>
                      <c:pt idx="88">
                        <c:v>-118.75104696609392</c:v>
                      </c:pt>
                      <c:pt idx="89">
                        <c:v>-118.92143615550016</c:v>
                      </c:pt>
                      <c:pt idx="90">
                        <c:v>-119.0917085040998</c:v>
                      </c:pt>
                      <c:pt idx="91">
                        <c:v>-119.2618730547463</c:v>
                      </c:pt>
                      <c:pt idx="92">
                        <c:v>-119.43193866808836</c:v>
                      </c:pt>
                      <c:pt idx="93">
                        <c:v>-119.6019140307162</c:v>
                      </c:pt>
                      <c:pt idx="94">
                        <c:v>-119.77180766294626</c:v>
                      </c:pt>
                      <c:pt idx="95">
                        <c:v>-119.94162792626621</c:v>
                      </c:pt>
                      <c:pt idx="96">
                        <c:v>-120.11138303046033</c:v>
                      </c:pt>
                      <c:pt idx="97">
                        <c:v>-120.28108104043427</c:v>
                      </c:pt>
                      <c:pt idx="98">
                        <c:v>-120.45072988275673</c:v>
                      </c:pt>
                      <c:pt idx="99">
                        <c:v>-120.62033735193475</c:v>
                      </c:pt>
                      <c:pt idx="100">
                        <c:v>-120.78991111643805</c:v>
                      </c:pt>
                      <c:pt idx="101">
                        <c:v>-120.95945872448694</c:v>
                      </c:pt>
                      <c:pt idx="102">
                        <c:v>-121.12898760961735</c:v>
                      </c:pt>
                      <c:pt idx="103">
                        <c:v>-121.29850509603605</c:v>
                      </c:pt>
                      <c:pt idx="104">
                        <c:v>-121.46801840377782</c:v>
                      </c:pt>
                      <c:pt idx="105">
                        <c:v>-121.63753465367597</c:v>
                      </c:pt>
                      <c:pt idx="106">
                        <c:v>-121.80706087215705</c:v>
                      </c:pt>
                      <c:pt idx="107">
                        <c:v>-121.97660399586965</c:v>
                      </c:pt>
                      <c:pt idx="108">
                        <c:v>-122.14617087615666</c:v>
                      </c:pt>
                      <c:pt idx="109">
                        <c:v>-122.31576828338029</c:v>
                      </c:pt>
                      <c:pt idx="110">
                        <c:v>-122.48540291110798</c:v>
                      </c:pt>
                      <c:pt idx="111">
                        <c:v>-122.65508138016747</c:v>
                      </c:pt>
                      <c:pt idx="112">
                        <c:v>-122.82481024257844</c:v>
                      </c:pt>
                      <c:pt idx="113">
                        <c:v>-122.99459598536792</c:v>
                      </c:pt>
                      <c:pt idx="114">
                        <c:v>-123.16444503427644</c:v>
                      </c:pt>
                      <c:pt idx="115">
                        <c:v>-123.33436375736133</c:v>
                      </c:pt>
                      <c:pt idx="116">
                        <c:v>-123.50435846850316</c:v>
                      </c:pt>
                      <c:pt idx="117">
                        <c:v>-123.67443543082155</c:v>
                      </c:pt>
                      <c:pt idx="118">
                        <c:v>-123.84460086000558</c:v>
                      </c:pt>
                      <c:pt idx="119">
                        <c:v>-124.01486092756448</c:v>
                      </c:pt>
                      <c:pt idx="120">
                        <c:v>-124.18522176400323</c:v>
                      </c:pt>
                      <c:pt idx="121">
                        <c:v>-124.35568946192863</c:v>
                      </c:pt>
                      <c:pt idx="122">
                        <c:v>-124.52627007908978</c:v>
                      </c:pt>
                      <c:pt idx="123">
                        <c:v>-124.69696964135801</c:v>
                      </c:pt>
                      <c:pt idx="124">
                        <c:v>-124.86779414565032</c:v>
                      </c:pt>
                      <c:pt idx="125">
                        <c:v>-125.0387495628005</c:v>
                      </c:pt>
                      <c:pt idx="126">
                        <c:v>-125.20984184038196</c:v>
                      </c:pt>
                      <c:pt idx="127">
                        <c:v>-125.38107690548603</c:v>
                      </c:pt>
                      <c:pt idx="128">
                        <c:v>-125.55246066745973</c:v>
                      </c:pt>
                      <c:pt idx="129">
                        <c:v>-125.72399902060619</c:v>
                      </c:pt>
                      <c:pt idx="130">
                        <c:v>-125.89569784685163</c:v>
                      </c:pt>
                      <c:pt idx="131">
                        <c:v>-126.06756301838206</c:v>
                      </c:pt>
                      <c:pt idx="132">
                        <c:v>-126.23960040025297</c:v>
                      </c:pt>
                      <c:pt idx="133">
                        <c:v>-126.41181585297564</c:v>
                      </c:pt>
                      <c:pt idx="134">
                        <c:v>-126.58421523508254</c:v>
                      </c:pt>
                      <c:pt idx="135">
                        <c:v>-126.75680440567565</c:v>
                      </c:pt>
                      <c:pt idx="136">
                        <c:v>-126.92958922696013</c:v>
                      </c:pt>
                      <c:pt idx="137">
                        <c:v>-127.10257556676676</c:v>
                      </c:pt>
                      <c:pt idx="138">
                        <c:v>-127.27576930106578</c:v>
                      </c:pt>
                      <c:pt idx="139">
                        <c:v>-127.44917631647519</c:v>
                      </c:pt>
                      <c:pt idx="140">
                        <c:v>-127.62280251276641</c:v>
                      </c:pt>
                      <c:pt idx="141">
                        <c:v>-127.79665380537</c:v>
                      </c:pt>
                      <c:pt idx="142">
                        <c:v>-127.97073612788428</c:v>
                      </c:pt>
                      <c:pt idx="143">
                        <c:v>-128.14505543459003</c:v>
                      </c:pt>
                      <c:pt idx="144">
                        <c:v>-128.31961770297343</c:v>
                      </c:pt>
                      <c:pt idx="145">
                        <c:v>-128.4944289362607</c:v>
                      </c:pt>
                      <c:pt idx="146">
                        <c:v>-128.66949516596671</c:v>
                      </c:pt>
                      <c:pt idx="147">
                        <c:v>-128.844822454461</c:v>
                      </c:pt>
                      <c:pt idx="148">
                        <c:v>-129.02041689755339</c:v>
                      </c:pt>
                      <c:pt idx="149">
                        <c:v>-129.19628462710267</c:v>
                      </c:pt>
                      <c:pt idx="150">
                        <c:v>-129.37243181365068</c:v>
                      </c:pt>
                      <c:pt idx="151">
                        <c:v>-129.54886466908545</c:v>
                      </c:pt>
                      <c:pt idx="152">
                        <c:v>-129.72558944933562</c:v>
                      </c:pt>
                      <c:pt idx="153">
                        <c:v>-129.90261245709979</c:v>
                      </c:pt>
                      <c:pt idx="154">
                        <c:v>-130.07994004461349</c:v>
                      </c:pt>
                      <c:pt idx="155">
                        <c:v>-130.25757861645738</c:v>
                      </c:pt>
                      <c:pt idx="156">
                        <c:v>-130.43553463240914</c:v>
                      </c:pt>
                      <c:pt idx="157">
                        <c:v>-130.61381461034341</c:v>
                      </c:pt>
                      <c:pt idx="158">
                        <c:v>-130.79242512918222</c:v>
                      </c:pt>
                      <c:pt idx="159">
                        <c:v>-130.9713728318998</c:v>
                      </c:pt>
                      <c:pt idx="160">
                        <c:v>-131.15066442858569</c:v>
                      </c:pt>
                      <c:pt idx="161">
                        <c:v>-131.33030669956906</c:v>
                      </c:pt>
                      <c:pt idx="162">
                        <c:v>-131.51030649860871</c:v>
                      </c:pt>
                      <c:pt idx="163">
                        <c:v>-131.69067075615243</c:v>
                      </c:pt>
                      <c:pt idx="164">
                        <c:v>-131.87140648266978</c:v>
                      </c:pt>
                      <c:pt idx="165">
                        <c:v>-132.05252077206251</c:v>
                      </c:pt>
                      <c:pt idx="166">
                        <c:v>-132.23402080515706</c:v>
                      </c:pt>
                      <c:pt idx="167">
                        <c:v>-132.41591385328363</c:v>
                      </c:pt>
                      <c:pt idx="168">
                        <c:v>-132.59820728194646</c:v>
                      </c:pt>
                      <c:pt idx="169">
                        <c:v>-132.78090855459033</c:v>
                      </c:pt>
                      <c:pt idx="170">
                        <c:v>-132.96402523646825</c:v>
                      </c:pt>
                      <c:pt idx="171">
                        <c:v>-133.14756499861579</c:v>
                      </c:pt>
                      <c:pt idx="172">
                        <c:v>-133.33153562193746</c:v>
                      </c:pt>
                      <c:pt idx="173">
                        <c:v>-133.51594500141113</c:v>
                      </c:pt>
                      <c:pt idx="174">
                        <c:v>-133.70080115041591</c:v>
                      </c:pt>
                      <c:pt idx="175">
                        <c:v>-133.88611220519101</c:v>
                      </c:pt>
                      <c:pt idx="176">
                        <c:v>-134.07188642943063</c:v>
                      </c:pt>
                      <c:pt idx="177">
                        <c:v>-134.25813221902325</c:v>
                      </c:pt>
                      <c:pt idx="178">
                        <c:v>-134.44485810694147</c:v>
                      </c:pt>
                      <c:pt idx="179">
                        <c:v>-134.63207276829061</c:v>
                      </c:pt>
                      <c:pt idx="180">
                        <c:v>-134.81978502552397</c:v>
                      </c:pt>
                      <c:pt idx="181">
                        <c:v>-135.00800385383266</c:v>
                      </c:pt>
                      <c:pt idx="182">
                        <c:v>-135.19673838671963</c:v>
                      </c:pt>
                      <c:pt idx="183">
                        <c:v>-135.38599792176629</c:v>
                      </c:pt>
                      <c:pt idx="184">
                        <c:v>-135.57579192660182</c:v>
                      </c:pt>
                      <c:pt idx="185">
                        <c:v>-135.76613004508565</c:v>
                      </c:pt>
                      <c:pt idx="186">
                        <c:v>-135.9570221037134</c:v>
                      </c:pt>
                      <c:pt idx="187">
                        <c:v>-136.148478118258</c:v>
                      </c:pt>
                      <c:pt idx="188">
                        <c:v>-136.3405083006578</c:v>
                      </c:pt>
                      <c:pt idx="189">
                        <c:v>-136.53312306616425</c:v>
                      </c:pt>
                      <c:pt idx="190">
                        <c:v>-136.726333040763</c:v>
                      </c:pt>
                      <c:pt idx="191">
                        <c:v>-136.9201490688815</c:v>
                      </c:pt>
                      <c:pt idx="192">
                        <c:v>-137.11458222139927</c:v>
                      </c:pt>
                      <c:pt idx="193">
                        <c:v>-137.30964380397558</c:v>
                      </c:pt>
                      <c:pt idx="194">
                        <c:v>-137.50534536571158</c:v>
                      </c:pt>
                      <c:pt idx="195">
                        <c:v>-137.70169870816483</c:v>
                      </c:pt>
                      <c:pt idx="196">
                        <c:v>-137.89871589473429</c:v>
                      </c:pt>
                      <c:pt idx="197">
                        <c:v>-138.09640926043645</c:v>
                      </c:pt>
                      <c:pt idx="198">
                        <c:v>-138.29479142209254</c:v>
                      </c:pt>
                      <c:pt idx="199">
                        <c:v>-138.49387528895028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84BA-4B27-90CF-23E3B49F7A94}"/>
                  </c:ext>
                </c:extLst>
              </c15:ser>
            </c15:filteredScatterSeries>
            <c15:filteredScatterSeries>
              <c15:ser>
                <c:idx val="6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Calculate!$J$1</c15:sqref>
                        </c15:formulaRef>
                      </c:ext>
                    </c:extLst>
                    <c:strCache>
                      <c:ptCount val="1"/>
                      <c:pt idx="0">
                        <c:v>Echo_transfer_us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Calculate!$J$2:$J$201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84BA-4B27-90CF-23E3B49F7A94}"/>
                  </c:ext>
                </c:extLst>
              </c15:ser>
            </c15:filteredScatterSeries>
            <c15:filteredScatterSeries>
              <c15:ser>
                <c:idx val="7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Calculate!$K$1</c15:sqref>
                        </c15:formulaRef>
                      </c:ext>
                    </c:extLst>
                    <c:strCache>
                      <c:ptCount val="1"/>
                      <c:pt idx="0">
                        <c:v>Echo_transfer_ds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Calculate!$K$2:$K$201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-24.255594168255566</c:v>
                      </c:pt>
                      <c:pt idx="1">
                        <c:v>-23.450022552161627</c:v>
                      </c:pt>
                      <c:pt idx="2">
                        <c:v>-22.770753307810992</c:v>
                      </c:pt>
                      <c:pt idx="3">
                        <c:v>-22.183497316077574</c:v>
                      </c:pt>
                      <c:pt idx="4">
                        <c:v>-21.666274463936823</c:v>
                      </c:pt>
                      <c:pt idx="5">
                        <c:v>-21.204146831993278</c:v>
                      </c:pt>
                      <c:pt idx="6">
                        <c:v>-20.786498569130391</c:v>
                      </c:pt>
                      <c:pt idx="7">
                        <c:v>-20.405514218225246</c:v>
                      </c:pt>
                      <c:pt idx="8">
                        <c:v>-20.055272868983213</c:v>
                      </c:pt>
                      <c:pt idx="9">
                        <c:v>-19.731181332890216</c:v>
                      </c:pt>
                      <c:pt idx="10">
                        <c:v>-19.429604628419273</c:v>
                      </c:pt>
                      <c:pt idx="11">
                        <c:v>-19.147616694428201</c:v>
                      </c:pt>
                      <c:pt idx="12">
                        <c:v>-18.882827244207171</c:v>
                      </c:pt>
                      <c:pt idx="13">
                        <c:v>-18.633258452455912</c:v>
                      </c:pt>
                      <c:pt idx="14">
                        <c:v>-18.397255197146119</c:v>
                      </c:pt>
                      <c:pt idx="15">
                        <c:v>-18.17341846269607</c:v>
                      </c:pt>
                      <c:pt idx="16">
                        <c:v>-17.960555083171215</c:v>
                      </c:pt>
                      <c:pt idx="17">
                        <c:v>-17.757639238742357</c:v>
                      </c:pt>
                      <c:pt idx="18">
                        <c:v>-17.563782553865018</c:v>
                      </c:pt>
                      <c:pt idx="19">
                        <c:v>-17.37821058951176</c:v>
                      </c:pt>
                      <c:pt idx="20">
                        <c:v>-17.20024415580292</c:v>
                      </c:pt>
                      <c:pt idx="21">
                        <c:v>-17.029284305478225</c:v>
                      </c:pt>
                      <c:pt idx="22">
                        <c:v>-16.864800171067834</c:v>
                      </c:pt>
                      <c:pt idx="23">
                        <c:v>-16.706319022658015</c:v>
                      </c:pt>
                      <c:pt idx="24">
                        <c:v>-16.553418076838852</c:v>
                      </c:pt>
                      <c:pt idx="25">
                        <c:v>-16.405717699260077</c:v>
                      </c:pt>
                      <c:pt idx="26">
                        <c:v>-16.262875725606733</c:v>
                      </c:pt>
                      <c:pt idx="27">
                        <c:v>-16.124582687188258</c:v>
                      </c:pt>
                      <c:pt idx="28">
                        <c:v>-15.990557773551057</c:v>
                      </c:pt>
                      <c:pt idx="29">
                        <c:v>-15.860545399664883</c:v>
                      </c:pt>
                      <c:pt idx="30">
                        <c:v>-15.734312272197039</c:v>
                      </c:pt>
                      <c:pt idx="31">
                        <c:v>-15.611644870255976</c:v>
                      </c:pt>
                      <c:pt idx="32">
                        <c:v>-15.492347272264437</c:v>
                      </c:pt>
                      <c:pt idx="33">
                        <c:v>-15.376239273418044</c:v>
                      </c:pt>
                      <c:pt idx="34">
                        <c:v>-15.263154748313458</c:v>
                      </c:pt>
                      <c:pt idx="35">
                        <c:v>-15.152940221401757</c:v>
                      </c:pt>
                      <c:pt idx="36">
                        <c:v>-15.045453614394923</c:v>
                      </c:pt>
                      <c:pt idx="37">
                        <c:v>-14.940563144974737</c:v>
                      </c:pt>
                      <c:pt idx="38">
                        <c:v>-14.838146355389183</c:v>
                      </c:pt>
                      <c:pt idx="39">
                        <c:v>-14.738089252976284</c:v>
                      </c:pt>
                      <c:pt idx="40">
                        <c:v>-14.640285547487544</c:v>
                      </c:pt>
                      <c:pt idx="41">
                        <c:v>-14.544635972415946</c:v>
                      </c:pt>
                      <c:pt idx="42">
                        <c:v>-14.451047679464386</c:v>
                      </c:pt>
                      <c:pt idx="43">
                        <c:v>-14.359433696894811</c:v>
                      </c:pt>
                      <c:pt idx="44">
                        <c:v>-14.269712443838099</c:v>
                      </c:pt>
                      <c:pt idx="45">
                        <c:v>-14.181807293766887</c:v>
                      </c:pt>
                      <c:pt idx="46">
                        <c:v>-14.095646181277996</c:v>
                      </c:pt>
                      <c:pt idx="47">
                        <c:v>-14.011161247128303</c:v>
                      </c:pt>
                      <c:pt idx="48">
                        <c:v>-13.928288517143477</c:v>
                      </c:pt>
                      <c:pt idx="49">
                        <c:v>-13.846967611193268</c:v>
                      </c:pt>
                      <c:pt idx="50">
                        <c:v>-13.767141478916884</c:v>
                      </c:pt>
                      <c:pt idx="51">
                        <c:v>-13.688756159301114</c:v>
                      </c:pt>
                      <c:pt idx="52">
                        <c:v>-13.611760561573474</c:v>
                      </c:pt>
                      <c:pt idx="53">
                        <c:v>-13.536106265182132</c:v>
                      </c:pt>
                      <c:pt idx="54">
                        <c:v>-13.461747336901572</c:v>
                      </c:pt>
                      <c:pt idx="55">
                        <c:v>-13.388640163333953</c:v>
                      </c:pt>
                      <c:pt idx="56">
                        <c:v>-13.316743297276709</c:v>
                      </c:pt>
                      <c:pt idx="57">
                        <c:v>-13.246017316601362</c:v>
                      </c:pt>
                      <c:pt idx="58">
                        <c:v>-13.176424694440405</c:v>
                      </c:pt>
                      <c:pt idx="59">
                        <c:v>-13.10792967961209</c:v>
                      </c:pt>
                      <c:pt idx="60">
                        <c:v>-13.040498186329222</c:v>
                      </c:pt>
                      <c:pt idx="61">
                        <c:v>-12.974097692340184</c:v>
                      </c:pt>
                      <c:pt idx="62">
                        <c:v>-12.908697144740195</c:v>
                      </c:pt>
                      <c:pt idx="63">
                        <c:v>-12.844266872769994</c:v>
                      </c:pt>
                      <c:pt idx="64">
                        <c:v>-12.78077850698898</c:v>
                      </c:pt>
                      <c:pt idx="65">
                        <c:v>-12.71820490427169</c:v>
                      </c:pt>
                      <c:pt idx="66">
                        <c:v>-12.656520078131264</c:v>
                      </c:pt>
                      <c:pt idx="67">
                        <c:v>-12.595699133922317</c:v>
                      </c:pt>
                      <c:pt idx="68">
                        <c:v>-12.535718208518743</c:v>
                      </c:pt>
                      <c:pt idx="69">
                        <c:v>-12.476554414100704</c:v>
                      </c:pt>
                      <c:pt idx="70">
                        <c:v>-12.4181857857194</c:v>
                      </c:pt>
                      <c:pt idx="71">
                        <c:v>-12.360591232338951</c:v>
                      </c:pt>
                      <c:pt idx="72">
                        <c:v>-12.303750491082431</c:v>
                      </c:pt>
                      <c:pt idx="73">
                        <c:v>-12.247644084433487</c:v>
                      </c:pt>
                      <c:pt idx="74">
                        <c:v>-12.192253280167542</c:v>
                      </c:pt>
                      <c:pt idx="75">
                        <c:v>-12.137560053806144</c:v>
                      </c:pt>
                      <c:pt idx="76">
                        <c:v>-12.083547053406292</c:v>
                      </c:pt>
                      <c:pt idx="77">
                        <c:v>-12.030197566512541</c:v>
                      </c:pt>
                      <c:pt idx="78">
                        <c:v>-11.97749548911446</c:v>
                      </c:pt>
                      <c:pt idx="79">
                        <c:v>-11.925425296465097</c:v>
                      </c:pt>
                      <c:pt idx="80">
                        <c:v>-11.873972015628262</c:v>
                      </c:pt>
                      <c:pt idx="81">
                        <c:v>-11.823121199633064</c:v>
                      </c:pt>
                      <c:pt idx="82">
                        <c:v>-11.77285890312411</c:v>
                      </c:pt>
                      <c:pt idx="83">
                        <c:v>-11.723171659404736</c:v>
                      </c:pt>
                      <c:pt idx="84">
                        <c:v>-11.67404645877868</c:v>
                      </c:pt>
                      <c:pt idx="85">
                        <c:v>-11.625470728103032</c:v>
                      </c:pt>
                      <c:pt idx="86">
                        <c:v>-11.577432311472126</c:v>
                      </c:pt>
                      <c:pt idx="87">
                        <c:v>-11.529919451958095</c:v>
                      </c:pt>
                      <c:pt idx="88">
                        <c:v>-11.482920774339444</c:v>
                      </c:pt>
                      <c:pt idx="89">
                        <c:v>-11.436425268754281</c:v>
                      </c:pt>
                      <c:pt idx="90">
                        <c:v>-11.390422275219274</c:v>
                      </c:pt>
                      <c:pt idx="91">
                        <c:v>-11.344901468960044</c:v>
                      </c:pt>
                      <c:pt idx="92">
                        <c:v>-11.29985284650239</c:v>
                      </c:pt>
                      <c:pt idx="93">
                        <c:v>-11.255266712477487</c:v>
                      </c:pt>
                      <c:pt idx="94">
                        <c:v>-11.211133667097608</c:v>
                      </c:pt>
                      <c:pt idx="95">
                        <c:v>-11.167444594261742</c:v>
                      </c:pt>
                      <c:pt idx="96">
                        <c:v>-11.124190650253622</c:v>
                      </c:pt>
                      <c:pt idx="97">
                        <c:v>-11.081363252997026</c:v>
                      </c:pt>
                      <c:pt idx="98">
                        <c:v>-11.038954071835684</c:v>
                      </c:pt>
                      <c:pt idx="99">
                        <c:v>-10.996955017807421</c:v>
                      </c:pt>
                      <c:pt idx="100">
                        <c:v>-10.95535823438405</c:v>
                      </c:pt>
                      <c:pt idx="101">
                        <c:v>-10.914156088650577</c:v>
                      </c:pt>
                      <c:pt idx="102">
                        <c:v>-10.873341162898885</c:v>
                      </c:pt>
                      <c:pt idx="103">
                        <c:v>-10.832906246612794</c:v>
                      </c:pt>
                      <c:pt idx="104">
                        <c:v>-10.792844328822754</c:v>
                      </c:pt>
                      <c:pt idx="105">
                        <c:v>-10.753148590810031</c:v>
                      </c:pt>
                      <c:pt idx="106">
                        <c:v>-10.71381239914124</c:v>
                      </c:pt>
                      <c:pt idx="107">
                        <c:v>-10.674829299015549</c:v>
                      </c:pt>
                      <c:pt idx="108">
                        <c:v>-10.636193007907799</c:v>
                      </c:pt>
                      <c:pt idx="109">
                        <c:v>-10.597897409491928</c:v>
                      </c:pt>
                      <c:pt idx="110">
                        <c:v>-10.559936547829942</c:v>
                      </c:pt>
                      <c:pt idx="111">
                        <c:v>-10.522304621812683</c:v>
                      </c:pt>
                      <c:pt idx="112">
                        <c:v>-10.4849959798394</c:v>
                      </c:pt>
                      <c:pt idx="113">
                        <c:v>-10.448005114723864</c:v>
                      </c:pt>
                      <c:pt idx="114">
                        <c:v>-10.41132665881565</c:v>
                      </c:pt>
                      <c:pt idx="115">
                        <c:v>-10.37495537932568</c:v>
                      </c:pt>
                      <c:pt idx="116">
                        <c:v>-10.338886173845889</c:v>
                      </c:pt>
                      <c:pt idx="117">
                        <c:v>-10.303114066053427</c:v>
                      </c:pt>
                      <c:pt idx="118">
                        <c:v>-10.267634201590329</c:v>
                      </c:pt>
                      <c:pt idx="119">
                        <c:v>-10.232441844110129</c:v>
                      </c:pt>
                      <c:pt idx="120">
                        <c:v>-10.197532371483394</c:v>
                      </c:pt>
                      <c:pt idx="121">
                        <c:v>-10.162901272154503</c:v>
                      </c:pt>
                      <c:pt idx="122">
                        <c:v>-10.128544141642593</c:v>
                      </c:pt>
                      <c:pt idx="123">
                        <c:v>-10.094456679179775</c:v>
                      </c:pt>
                      <c:pt idx="124">
                        <c:v>-10.060634684480307</c:v>
                      </c:pt>
                      <c:pt idx="125">
                        <c:v>-10.027074054634559</c:v>
                      </c:pt>
                      <c:pt idx="126">
                        <c:v>-9.9937707811221035</c:v>
                      </c:pt>
                      <c:pt idx="127">
                        <c:v>-9.9607209469384426</c:v>
                      </c:pt>
                      <c:pt idx="128">
                        <c:v>-9.9279207238302565</c:v>
                      </c:pt>
                      <c:pt idx="129">
                        <c:v>-9.8953663696342673</c:v>
                      </c:pt>
                      <c:pt idx="130">
                        <c:v>-9.8630542257150804</c:v>
                      </c:pt>
                      <c:pt idx="131">
                        <c:v>-9.8309807144976773</c:v>
                      </c:pt>
                      <c:pt idx="132">
                        <c:v>-9.799142337090343</c:v>
                      </c:pt>
                      <c:pt idx="133">
                        <c:v>-9.7675356709940768</c:v>
                      </c:pt>
                      <c:pt idx="134">
                        <c:v>-9.7361573678947675</c:v>
                      </c:pt>
                      <c:pt idx="135">
                        <c:v>-9.7050041515345633</c:v>
                      </c:pt>
                      <c:pt idx="136">
                        <c:v>-9.6740728156590468</c:v>
                      </c:pt>
                      <c:pt idx="137">
                        <c:v>-9.6433602220369625</c:v>
                      </c:pt>
                      <c:pt idx="138">
                        <c:v>-9.6128632985495273</c:v>
                      </c:pt>
                      <c:pt idx="139">
                        <c:v>-9.5825790373463313</c:v>
                      </c:pt>
                      <c:pt idx="140">
                        <c:v>-9.5525044930650846</c:v>
                      </c:pt>
                      <c:pt idx="141">
                        <c:v>-9.5226367811126096</c:v>
                      </c:pt>
                      <c:pt idx="142">
                        <c:v>-9.4929730760045103</c:v>
                      </c:pt>
                      <c:pt idx="143">
                        <c:v>-9.4635106097611796</c:v>
                      </c:pt>
                      <c:pt idx="144">
                        <c:v>-9.4342466703578438</c:v>
                      </c:pt>
                      <c:pt idx="145">
                        <c:v>-9.4051786002264866</c:v>
                      </c:pt>
                      <c:pt idx="146">
                        <c:v>-9.3763037948075549</c:v>
                      </c:pt>
                      <c:pt idx="147">
                        <c:v>-9.3476197011495152</c:v>
                      </c:pt>
                      <c:pt idx="148">
                        <c:v>-9.31912381655434</c:v>
                      </c:pt>
                      <c:pt idx="149">
                        <c:v>-9.290813687267157</c:v>
                      </c:pt>
                      <c:pt idx="150">
                        <c:v>-9.2626869072083142</c:v>
                      </c:pt>
                      <c:pt idx="151">
                        <c:v>-9.234741116746255</c:v>
                      </c:pt>
                      <c:pt idx="152">
                        <c:v>-9.2069740015096144</c:v>
                      </c:pt>
                      <c:pt idx="153">
                        <c:v>-9.179383291237059</c:v>
                      </c:pt>
                      <c:pt idx="154">
                        <c:v>-9.1519667586634057</c:v>
                      </c:pt>
                      <c:pt idx="155">
                        <c:v>-9.1247222184407271</c:v>
                      </c:pt>
                      <c:pt idx="156">
                        <c:v>-9.0976475260930361</c:v>
                      </c:pt>
                      <c:pt idx="157">
                        <c:v>-9.0707405770033827</c:v>
                      </c:pt>
                      <c:pt idx="158">
                        <c:v>-9.0439993054321324</c:v>
                      </c:pt>
                      <c:pt idx="159">
                        <c:v>-9.0174216835652672</c:v>
                      </c:pt>
                      <c:pt idx="160">
                        <c:v>-8.9910057205916676</c:v>
                      </c:pt>
                      <c:pt idx="161">
                        <c:v>-8.9647494618082426</c:v>
                      </c:pt>
                      <c:pt idx="162">
                        <c:v>-8.9386509877519735</c:v>
                      </c:pt>
                      <c:pt idx="163">
                        <c:v>-8.9127084133578887</c:v>
                      </c:pt>
                      <c:pt idx="164">
                        <c:v>-8.8869198871420068</c:v>
                      </c:pt>
                      <c:pt idx="165">
                        <c:v>-8.8612835904084442</c:v>
                      </c:pt>
                      <c:pt idx="166">
                        <c:v>-8.8357977364797389</c:v>
                      </c:pt>
                      <c:pt idx="167">
                        <c:v>-8.8104605699496474</c:v>
                      </c:pt>
                      <c:pt idx="168">
                        <c:v>-8.7852703659576239</c:v>
                      </c:pt>
                      <c:pt idx="169">
                        <c:v>-8.7602254294842012</c:v>
                      </c:pt>
                      <c:pt idx="170">
                        <c:v>-8.7353240946665771</c:v>
                      </c:pt>
                      <c:pt idx="171">
                        <c:v>-8.7105647241337163</c:v>
                      </c:pt>
                      <c:pt idx="172">
                        <c:v>-8.6859457083602862</c:v>
                      </c:pt>
                      <c:pt idx="173">
                        <c:v>-8.6614654650388196</c:v>
                      </c:pt>
                      <c:pt idx="174">
                        <c:v>-8.6371224384694543</c:v>
                      </c:pt>
                      <c:pt idx="175">
                        <c:v>-8.6129150989666989</c:v>
                      </c:pt>
                      <c:pt idx="176">
                        <c:v>-8.5888419422826168</c:v>
                      </c:pt>
                      <c:pt idx="177">
                        <c:v>-8.5649014890459387</c:v>
                      </c:pt>
                      <c:pt idx="178">
                        <c:v>-8.5410922842165196</c:v>
                      </c:pt>
                      <c:pt idx="179">
                        <c:v>-8.5174128965547009</c:v>
                      </c:pt>
                      <c:pt idx="180">
                        <c:v>-8.4938619181050257</c:v>
                      </c:pt>
                      <c:pt idx="181">
                        <c:v>-8.4704379636939073</c:v>
                      </c:pt>
                      <c:pt idx="182">
                        <c:v>-8.4471396704407447</c:v>
                      </c:pt>
                      <c:pt idx="183">
                        <c:v>-8.4239656972821138</c:v>
                      </c:pt>
                      <c:pt idx="184">
                        <c:v>-8.4009147245085565</c:v>
                      </c:pt>
                      <c:pt idx="185">
                        <c:v>-8.3779854533136078</c:v>
                      </c:pt>
                      <c:pt idx="186">
                        <c:v>-8.3551766053546803</c:v>
                      </c:pt>
                      <c:pt idx="187">
                        <c:v>-8.3324869223253977</c:v>
                      </c:pt>
                      <c:pt idx="188">
                        <c:v>-8.3099151655390493</c:v>
                      </c:pt>
                      <c:pt idx="189">
                        <c:v>-8.2874601155228138</c:v>
                      </c:pt>
                      <c:pt idx="190">
                        <c:v>-8.2651205716224379</c:v>
                      </c:pt>
                      <c:pt idx="191">
                        <c:v>-8.2428953516169887</c:v>
                      </c:pt>
                      <c:pt idx="192">
                        <c:v>-8.2207832913434551</c:v>
                      </c:pt>
                      <c:pt idx="193">
                        <c:v>-8.1987832443308335</c:v>
                      </c:pt>
                      <c:pt idx="194">
                        <c:v>-8.1768940814434448</c:v>
                      </c:pt>
                      <c:pt idx="195">
                        <c:v>-8.1551146905331908</c:v>
                      </c:pt>
                      <c:pt idx="196">
                        <c:v>-8.1334439761004909</c:v>
                      </c:pt>
                      <c:pt idx="197">
                        <c:v>-8.111880858963632</c:v>
                      </c:pt>
                      <c:pt idx="198">
                        <c:v>-8.090424275936293</c:v>
                      </c:pt>
                      <c:pt idx="199">
                        <c:v>-8.0690731795129658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4BA-4B27-90CF-23E3B49F7A94}"/>
                  </c:ext>
                </c:extLst>
              </c15:ser>
            </c15:filteredScatterSeries>
            <c15:filteredScatterSeries>
              <c15:ser>
                <c:idx val="8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Calculate!$L$1</c15:sqref>
                        </c15:formulaRef>
                      </c:ext>
                    </c:extLst>
                    <c:strCache>
                      <c:ptCount val="1"/>
                      <c:pt idx="0">
                        <c:v>Rx_echo_us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Calculate!$L$2:$L$201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4BA-4B27-90CF-23E3B49F7A94}"/>
                  </c:ext>
                </c:extLst>
              </c15:ser>
            </c15:filteredScatterSeries>
            <c15:filteredScatterSeries>
              <c15:ser>
                <c:idx val="9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Calculate!$M$1</c15:sqref>
                        </c15:formulaRef>
                      </c:ext>
                    </c:extLst>
                    <c:strCache>
                      <c:ptCount val="1"/>
                      <c:pt idx="0">
                        <c:v>Rx_echo_ds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Calculate!$M$2:$M$201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-121.61606587287247</c:v>
                      </c:pt>
                      <c:pt idx="1">
                        <c:v>-120.81093318280027</c:v>
                      </c:pt>
                      <c:pt idx="2">
                        <c:v>-120.13239550153619</c:v>
                      </c:pt>
                      <c:pt idx="3">
                        <c:v>-119.54616373953357</c:v>
                      </c:pt>
                      <c:pt idx="4">
                        <c:v>-119.03025782518705</c:v>
                      </c:pt>
                      <c:pt idx="5">
                        <c:v>-118.56973989236812</c:v>
                      </c:pt>
                      <c:pt idx="6">
                        <c:v>-118.1539941550851</c:v>
                      </c:pt>
                      <c:pt idx="7">
                        <c:v>-117.77520523321058</c:v>
                      </c:pt>
                      <c:pt idx="8">
                        <c:v>-117.42745230533076</c:v>
                      </c:pt>
                      <c:pt idx="9">
                        <c:v>-117.10614228371495</c:v>
                      </c:pt>
                      <c:pt idx="10">
                        <c:v>-116.80764029954155</c:v>
                      </c:pt>
                      <c:pt idx="11">
                        <c:v>-116.52902041631754</c:v>
                      </c:pt>
                      <c:pt idx="12">
                        <c:v>-116.26789248395011</c:v>
                      </c:pt>
                      <c:pt idx="13">
                        <c:v>-116.02227882575031</c:v>
                      </c:pt>
                      <c:pt idx="14">
                        <c:v>-115.79052448032425</c:v>
                      </c:pt>
                      <c:pt idx="15">
                        <c:v>-115.57123060477886</c:v>
                      </c:pt>
                      <c:pt idx="16">
                        <c:v>-115.36320421795601</c:v>
                      </c:pt>
                      <c:pt idx="17">
                        <c:v>-115.16541969692652</c:v>
                      </c:pt>
                      <c:pt idx="18">
                        <c:v>-114.97698887520792</c:v>
                      </c:pt>
                      <c:pt idx="19">
                        <c:v>-114.79713753503751</c:v>
                      </c:pt>
                      <c:pt idx="20">
                        <c:v>-114.62518672004614</c:v>
                      </c:pt>
                      <c:pt idx="21">
                        <c:v>-114.46053772877556</c:v>
                      </c:pt>
                      <c:pt idx="22">
                        <c:v>-114.30265995189754</c:v>
                      </c:pt>
                      <c:pt idx="23">
                        <c:v>-114.15108093003005</c:v>
                      </c:pt>
                      <c:pt idx="24">
                        <c:v>-114.00537816273824</c:v>
                      </c:pt>
                      <c:pt idx="25">
                        <c:v>-113.86517231114574</c:v>
                      </c:pt>
                      <c:pt idx="26">
                        <c:v>-113.7301215189687</c:v>
                      </c:pt>
                      <c:pt idx="27">
                        <c:v>-113.59991663816558</c:v>
                      </c:pt>
                      <c:pt idx="28">
                        <c:v>-113.47427719161317</c:v>
                      </c:pt>
                      <c:pt idx="29">
                        <c:v>-113.3529479403591</c:v>
                      </c:pt>
                      <c:pt idx="30">
                        <c:v>-113.23569594996472</c:v>
                      </c:pt>
                      <c:pt idx="31">
                        <c:v>-113.12230807132015</c:v>
                      </c:pt>
                      <c:pt idx="32">
                        <c:v>-113.01258876759174</c:v>
                      </c:pt>
                      <c:pt idx="33">
                        <c:v>-112.90635823175739</c:v>
                      </c:pt>
                      <c:pt idx="34">
                        <c:v>-112.80345074931473</c:v>
                      </c:pt>
                      <c:pt idx="35">
                        <c:v>-112.70371326881695</c:v>
                      </c:pt>
                      <c:pt idx="36">
                        <c:v>-112.60700414936474</c:v>
                      </c:pt>
                      <c:pt idx="37">
                        <c:v>-112.51319205940372</c:v>
                      </c:pt>
                      <c:pt idx="38">
                        <c:v>-112.42215500541214</c:v>
                      </c:pt>
                      <c:pt idx="39">
                        <c:v>-112.33377947251897</c:v>
                      </c:pt>
                      <c:pt idx="40">
                        <c:v>-112.24795966192494</c:v>
                      </c:pt>
                      <c:pt idx="41">
                        <c:v>-112.16459681233084</c:v>
                      </c:pt>
                      <c:pt idx="42">
                        <c:v>-112.08359859450964</c:v>
                      </c:pt>
                      <c:pt idx="43">
                        <c:v>-112.00487856976241</c:v>
                      </c:pt>
                      <c:pt idx="44">
                        <c:v>-111.92835570433822</c:v>
                      </c:pt>
                      <c:pt idx="45">
                        <c:v>-111.85395393302022</c:v>
                      </c:pt>
                      <c:pt idx="46">
                        <c:v>-111.78160176602485</c:v>
                      </c:pt>
                      <c:pt idx="47">
                        <c:v>-111.7112319341575</c:v>
                      </c:pt>
                      <c:pt idx="48">
                        <c:v>-111.64278106784491</c:v>
                      </c:pt>
                      <c:pt idx="49">
                        <c:v>-111.57618940623729</c:v>
                      </c:pt>
                      <c:pt idx="50">
                        <c:v>-111.51140053306432</c:v>
                      </c:pt>
                      <c:pt idx="51">
                        <c:v>-111.44836113634739</c:v>
                      </c:pt>
                      <c:pt idx="52">
                        <c:v>-111.38702078943051</c:v>
                      </c:pt>
                      <c:pt idx="53">
                        <c:v>-111.32733175110201</c:v>
                      </c:pt>
                      <c:pt idx="54">
                        <c:v>-111.26924878284547</c:v>
                      </c:pt>
                      <c:pt idx="55">
                        <c:v>-111.21272898149047</c:v>
                      </c:pt>
                      <c:pt idx="56">
                        <c:v>-111.15773162573345</c:v>
                      </c:pt>
                      <c:pt idx="57">
                        <c:v>-111.1042180351739</c:v>
                      </c:pt>
                      <c:pt idx="58">
                        <c:v>-111.05215144066261</c:v>
                      </c:pt>
                      <c:pt idx="59">
                        <c:v>-111.00149686489225</c:v>
                      </c:pt>
                      <c:pt idx="60">
                        <c:v>-110.95222101227596</c:v>
                      </c:pt>
                      <c:pt idx="61">
                        <c:v>-110.90429216726278</c:v>
                      </c:pt>
                      <c:pt idx="62">
                        <c:v>-110.85768010032768</c:v>
                      </c:pt>
                      <c:pt idx="63">
                        <c:v>-110.81235598095351</c:v>
                      </c:pt>
                      <c:pt idx="64">
                        <c:v>-110.76829229699213</c:v>
                      </c:pt>
                      <c:pt idx="65">
                        <c:v>-110.72546277985363</c:v>
                      </c:pt>
                      <c:pt idx="66">
                        <c:v>-110.68384233502729</c:v>
                      </c:pt>
                      <c:pt idx="67">
                        <c:v>-110.64340697748699</c:v>
                      </c:pt>
                      <c:pt idx="68">
                        <c:v>-110.60413377157653</c:v>
                      </c:pt>
                      <c:pt idx="69">
                        <c:v>-110.56600077500926</c:v>
                      </c:pt>
                      <c:pt idx="70">
                        <c:v>-110.52898698665093</c:v>
                      </c:pt>
                      <c:pt idx="71">
                        <c:v>-110.49307229778488</c:v>
                      </c:pt>
                      <c:pt idx="72">
                        <c:v>-110.45823744658691</c:v>
                      </c:pt>
                      <c:pt idx="73">
                        <c:v>-110.42446397556145</c:v>
                      </c:pt>
                      <c:pt idx="74">
                        <c:v>-110.39173419171294</c:v>
                      </c:pt>
                      <c:pt idx="75">
                        <c:v>-110.36003112924645</c:v>
                      </c:pt>
                      <c:pt idx="76">
                        <c:v>-110.32933851460911</c:v>
                      </c:pt>
                      <c:pt idx="77">
                        <c:v>-110.29964073370051</c:v>
                      </c:pt>
                      <c:pt idx="78">
                        <c:v>-110.27092280109495</c:v>
                      </c:pt>
                      <c:pt idx="79">
                        <c:v>-110.24317033113091</c:v>
                      </c:pt>
                      <c:pt idx="80">
                        <c:v>-110.21636951073611</c:v>
                      </c:pt>
                      <c:pt idx="81">
                        <c:v>-110.19050707386656</c:v>
                      </c:pt>
                      <c:pt idx="82">
                        <c:v>-110.16557027744815</c:v>
                      </c:pt>
                      <c:pt idx="83">
                        <c:v>-110.14154687871857</c:v>
                      </c:pt>
                      <c:pt idx="84">
                        <c:v>-110.11842511387464</c:v>
                      </c:pt>
                      <c:pt idx="85">
                        <c:v>-110.09619367793869</c:v>
                      </c:pt>
                      <c:pt idx="86">
                        <c:v>-110.07484170576329</c:v>
                      </c:pt>
                      <c:pt idx="87">
                        <c:v>-110.05435875410072</c:v>
                      </c:pt>
                      <c:pt idx="88">
                        <c:v>-110.03473478466822</c:v>
                      </c:pt>
                      <c:pt idx="89">
                        <c:v>-110.01596014814632</c:v>
                      </c:pt>
                      <c:pt idx="90">
                        <c:v>-109.99802556905139</c:v>
                      </c:pt>
                      <c:pt idx="91">
                        <c:v>-109.98092213142809</c:v>
                      </c:pt>
                      <c:pt idx="92">
                        <c:v>-109.96464126531171</c:v>
                      </c:pt>
                      <c:pt idx="93">
                        <c:v>-109.94917473391364</c:v>
                      </c:pt>
                      <c:pt idx="94">
                        <c:v>-109.93451462148651</c:v>
                      </c:pt>
                      <c:pt idx="95">
                        <c:v>-109.92065332182912</c:v>
                      </c:pt>
                      <c:pt idx="96">
                        <c:v>-109.90758352739348</c:v>
                      </c:pt>
                      <c:pt idx="97">
                        <c:v>-109.89529821895924</c:v>
                      </c:pt>
                      <c:pt idx="98">
                        <c:v>-109.88379065584328</c:v>
                      </c:pt>
                      <c:pt idx="99">
                        <c:v>-109.87305436661401</c:v>
                      </c:pt>
                      <c:pt idx="100">
                        <c:v>-109.86308314028268</c:v>
                      </c:pt>
                      <c:pt idx="101">
                        <c:v>-109.853871017945</c:v>
                      </c:pt>
                      <c:pt idx="102">
                        <c:v>-109.84541228484905</c:v>
                      </c:pt>
                      <c:pt idx="103">
                        <c:v>-109.83770146286635</c:v>
                      </c:pt>
                      <c:pt idx="104">
                        <c:v>-109.83073330334493</c:v>
                      </c:pt>
                      <c:pt idx="105">
                        <c:v>-109.82450278032432</c:v>
                      </c:pt>
                      <c:pt idx="106">
                        <c:v>-109.81900508409407</c:v>
                      </c:pt>
                      <c:pt idx="107">
                        <c:v>-109.81423561507808</c:v>
                      </c:pt>
                      <c:pt idx="108">
                        <c:v>-109.81018997802857</c:v>
                      </c:pt>
                      <c:pt idx="109">
                        <c:v>-109.80686397651459</c:v>
                      </c:pt>
                      <c:pt idx="110">
                        <c:v>-109.80425360769038</c:v>
                      </c:pt>
                      <c:pt idx="111">
                        <c:v>-109.80235505733069</c:v>
                      </c:pt>
                      <c:pt idx="112">
                        <c:v>-109.80116469512008</c:v>
                      </c:pt>
                      <c:pt idx="113">
                        <c:v>-109.80067907018469</c:v>
                      </c:pt>
                      <c:pt idx="114">
                        <c:v>-109.80089490685536</c:v>
                      </c:pt>
                      <c:pt idx="115">
                        <c:v>-109.80180910065206</c:v>
                      </c:pt>
                      <c:pt idx="116">
                        <c:v>-109.80341871447939</c:v>
                      </c:pt>
                      <c:pt idx="117">
                        <c:v>-109.8057209750246</c:v>
                      </c:pt>
                      <c:pt idx="118">
                        <c:v>-109.80871326934948</c:v>
                      </c:pt>
                      <c:pt idx="119">
                        <c:v>-109.81239314166803</c:v>
                      </c:pt>
                      <c:pt idx="120">
                        <c:v>-109.81675829030242</c:v>
                      </c:pt>
                      <c:pt idx="121">
                        <c:v>-109.82180656481063</c:v>
                      </c:pt>
                      <c:pt idx="122">
                        <c:v>-109.82753596327861</c:v>
                      </c:pt>
                      <c:pt idx="123">
                        <c:v>-109.83394462977127</c:v>
                      </c:pt>
                      <c:pt idx="124">
                        <c:v>-109.84103085193654</c:v>
                      </c:pt>
                      <c:pt idx="125">
                        <c:v>-109.84879305875675</c:v>
                      </c:pt>
                      <c:pt idx="126">
                        <c:v>-109.85722981844286</c:v>
                      </c:pt>
                      <c:pt idx="127">
                        <c:v>-109.86633983646624</c:v>
                      </c:pt>
                      <c:pt idx="128">
                        <c:v>-109.87612195372434</c:v>
                      </c:pt>
                      <c:pt idx="129">
                        <c:v>-109.88657514483543</c:v>
                      </c:pt>
                      <c:pt idx="130">
                        <c:v>-109.89769851655927</c:v>
                      </c:pt>
                      <c:pt idx="131">
                        <c:v>-109.90949130633979</c:v>
                      </c:pt>
                      <c:pt idx="132">
                        <c:v>-109.9219528809666</c:v>
                      </c:pt>
                      <c:pt idx="133">
                        <c:v>-109.93508273535265</c:v>
                      </c:pt>
                      <c:pt idx="134">
                        <c:v>-109.94888049142465</c:v>
                      </c:pt>
                      <c:pt idx="135">
                        <c:v>-109.96334589712436</c:v>
                      </c:pt>
                      <c:pt idx="136">
                        <c:v>-109.97847882551794</c:v>
                      </c:pt>
                      <c:pt idx="137">
                        <c:v>-109.99427927401163</c:v>
                      </c:pt>
                      <c:pt idx="138">
                        <c:v>-110.01074736367147</c:v>
                      </c:pt>
                      <c:pt idx="139">
                        <c:v>-110.02788333864562</c:v>
                      </c:pt>
                      <c:pt idx="140">
                        <c:v>-110.04568756568777</c:v>
                      </c:pt>
                      <c:pt idx="141">
                        <c:v>-110.06416053378005</c:v>
                      </c:pt>
                      <c:pt idx="142">
                        <c:v>-110.08330285385452</c:v>
                      </c:pt>
                      <c:pt idx="143">
                        <c:v>-110.10311525861218</c:v>
                      </c:pt>
                      <c:pt idx="144">
                        <c:v>-110.12359860243856</c:v>
                      </c:pt>
                      <c:pt idx="145">
                        <c:v>-110.14475386141562</c:v>
                      </c:pt>
                      <c:pt idx="146">
                        <c:v>-110.16658213342885</c:v>
                      </c:pt>
                      <c:pt idx="147">
                        <c:v>-110.18908463836998</c:v>
                      </c:pt>
                      <c:pt idx="148">
                        <c:v>-110.21226271843456</c:v>
                      </c:pt>
                      <c:pt idx="149">
                        <c:v>-110.23611783851473</c:v>
                      </c:pt>
                      <c:pt idx="150">
                        <c:v>-110.2606515866872</c:v>
                      </c:pt>
                      <c:pt idx="151">
                        <c:v>-110.28586567479687</c:v>
                      </c:pt>
                      <c:pt idx="152">
                        <c:v>-110.31176193913652</c:v>
                      </c:pt>
                      <c:pt idx="153">
                        <c:v>-110.33834234122318</c:v>
                      </c:pt>
                      <c:pt idx="154">
                        <c:v>-110.36560896867195</c:v>
                      </c:pt>
                      <c:pt idx="155">
                        <c:v>-110.39356403616847</c:v>
                      </c:pt>
                      <c:pt idx="156">
                        <c:v>-110.42220988654081</c:v>
                      </c:pt>
                      <c:pt idx="157">
                        <c:v>-110.45154899193236</c:v>
                      </c:pt>
                      <c:pt idx="158">
                        <c:v>-110.48158395507713</c:v>
                      </c:pt>
                      <c:pt idx="159">
                        <c:v>-110.51231751067883</c:v>
                      </c:pt>
                      <c:pt idx="160">
                        <c:v>-110.54375252689611</c:v>
                      </c:pt>
                      <c:pt idx="161">
                        <c:v>-110.57589200693536</c:v>
                      </c:pt>
                      <c:pt idx="162">
                        <c:v>-110.60873909075353</c:v>
                      </c:pt>
                      <c:pt idx="163">
                        <c:v>-110.64229705687346</c:v>
                      </c:pt>
                      <c:pt idx="164">
                        <c:v>-110.67656932431402</c:v>
                      </c:pt>
                      <c:pt idx="165">
                        <c:v>-110.71155945463809</c:v>
                      </c:pt>
                      <c:pt idx="166">
                        <c:v>-110.74727115412108</c:v>
                      </c:pt>
                      <c:pt idx="167">
                        <c:v>-110.78370827604365</c:v>
                      </c:pt>
                      <c:pt idx="168">
                        <c:v>-110.82087482311145</c:v>
                      </c:pt>
                      <c:pt idx="169">
                        <c:v>-110.85877495000622</c:v>
                      </c:pt>
                      <c:pt idx="170">
                        <c:v>-110.89741296607166</c:v>
                      </c:pt>
                      <c:pt idx="171">
                        <c:v>-110.93679333813844</c:v>
                      </c:pt>
                      <c:pt idx="172">
                        <c:v>-110.97692069349301</c:v>
                      </c:pt>
                      <c:pt idx="173">
                        <c:v>-111.01779982299446</c:v>
                      </c:pt>
                      <c:pt idx="174">
                        <c:v>-111.05943568434503</c:v>
                      </c:pt>
                      <c:pt idx="175">
                        <c:v>-111.10183340551922</c:v>
                      </c:pt>
                      <c:pt idx="176">
                        <c:v>-111.14499828835721</c:v>
                      </c:pt>
                      <c:pt idx="177">
                        <c:v>-111.18893581232902</c:v>
                      </c:pt>
                      <c:pt idx="178">
                        <c:v>-111.23365163847511</c:v>
                      </c:pt>
                      <c:pt idx="179">
                        <c:v>-111.27915161353084</c:v>
                      </c:pt>
                      <c:pt idx="180">
                        <c:v>-111.32544177424165</c:v>
                      </c:pt>
                      <c:pt idx="181">
                        <c:v>-111.3725283518765</c:v>
                      </c:pt>
                      <c:pt idx="182">
                        <c:v>-111.42041777694783</c:v>
                      </c:pt>
                      <c:pt idx="183">
                        <c:v>-111.4691166841465</c:v>
                      </c:pt>
                      <c:pt idx="184">
                        <c:v>-111.51863191750067</c:v>
                      </c:pt>
                      <c:pt idx="185">
                        <c:v>-111.56897053576829</c:v>
                      </c:pt>
                      <c:pt idx="186">
                        <c:v>-111.62013981807328</c:v>
                      </c:pt>
                      <c:pt idx="187">
                        <c:v>-111.67214726979633</c:v>
                      </c:pt>
                      <c:pt idx="188">
                        <c:v>-111.72500062873131</c:v>
                      </c:pt>
                      <c:pt idx="189">
                        <c:v>-111.77870787151983</c:v>
                      </c:pt>
                      <c:pt idx="190">
                        <c:v>-111.8332772203765</c:v>
                      </c:pt>
                      <c:pt idx="191">
                        <c:v>-111.8887171501185</c:v>
                      </c:pt>
                      <c:pt idx="192">
                        <c:v>-111.94503639551363</c:v>
                      </c:pt>
                      <c:pt idx="193">
                        <c:v>-112.00224395896279</c:v>
                      </c:pt>
                      <c:pt idx="194">
                        <c:v>-112.06034911853217</c:v>
                      </c:pt>
                      <c:pt idx="195">
                        <c:v>-112.119361436353</c:v>
                      </c:pt>
                      <c:pt idx="196">
                        <c:v>-112.17929076740694</c:v>
                      </c:pt>
                      <c:pt idx="197">
                        <c:v>-112.24014726871648</c:v>
                      </c:pt>
                      <c:pt idx="198">
                        <c:v>-112.30194140896094</c:v>
                      </c:pt>
                      <c:pt idx="199">
                        <c:v>-112.36468397854004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84BA-4B27-90CF-23E3B49F7A94}"/>
                  </c:ext>
                </c:extLst>
              </c15:ser>
            </c15:filteredScatterSeries>
            <c15:filteredScatterSeries>
              <c15:ser>
                <c:idx val="10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Calculate!$N$1</c15:sqref>
                        </c15:formulaRef>
                      </c:ext>
                    </c:extLst>
                    <c:strCache>
                      <c:ptCount val="1"/>
                      <c:pt idx="0">
                        <c:v>AFE_noise_us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Calculate!$N$2:$N$201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84BA-4B27-90CF-23E3B49F7A94}"/>
                  </c:ext>
                </c:extLst>
              </c15:ser>
            </c15:filteredScatterSeries>
            <c15:filteredScatterSeries>
              <c15:ser>
                <c:idx val="11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Calculate!$O$1</c15:sqref>
                        </c15:formulaRef>
                      </c:ext>
                    </c:extLst>
                    <c:strCache>
                      <c:ptCount val="1"/>
                      <c:pt idx="0">
                        <c:v>AFE_noise_ds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Calculate!$O$2:$O$201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-140</c:v>
                      </c:pt>
                      <c:pt idx="1">
                        <c:v>-140</c:v>
                      </c:pt>
                      <c:pt idx="2">
                        <c:v>-140</c:v>
                      </c:pt>
                      <c:pt idx="3">
                        <c:v>-140</c:v>
                      </c:pt>
                      <c:pt idx="4">
                        <c:v>-140</c:v>
                      </c:pt>
                      <c:pt idx="5">
                        <c:v>-140</c:v>
                      </c:pt>
                      <c:pt idx="6">
                        <c:v>-140</c:v>
                      </c:pt>
                      <c:pt idx="7">
                        <c:v>-140</c:v>
                      </c:pt>
                      <c:pt idx="8">
                        <c:v>-140</c:v>
                      </c:pt>
                      <c:pt idx="9">
                        <c:v>-140</c:v>
                      </c:pt>
                      <c:pt idx="10">
                        <c:v>-140</c:v>
                      </c:pt>
                      <c:pt idx="11">
                        <c:v>-140</c:v>
                      </c:pt>
                      <c:pt idx="12">
                        <c:v>-140</c:v>
                      </c:pt>
                      <c:pt idx="13">
                        <c:v>-140</c:v>
                      </c:pt>
                      <c:pt idx="14">
                        <c:v>-140</c:v>
                      </c:pt>
                      <c:pt idx="15">
                        <c:v>-140</c:v>
                      </c:pt>
                      <c:pt idx="16">
                        <c:v>-140</c:v>
                      </c:pt>
                      <c:pt idx="17">
                        <c:v>-140</c:v>
                      </c:pt>
                      <c:pt idx="18">
                        <c:v>-140</c:v>
                      </c:pt>
                      <c:pt idx="19">
                        <c:v>-140</c:v>
                      </c:pt>
                      <c:pt idx="20">
                        <c:v>-140</c:v>
                      </c:pt>
                      <c:pt idx="21">
                        <c:v>-140</c:v>
                      </c:pt>
                      <c:pt idx="22">
                        <c:v>-140</c:v>
                      </c:pt>
                      <c:pt idx="23">
                        <c:v>-140</c:v>
                      </c:pt>
                      <c:pt idx="24">
                        <c:v>-140</c:v>
                      </c:pt>
                      <c:pt idx="25">
                        <c:v>-140</c:v>
                      </c:pt>
                      <c:pt idx="26">
                        <c:v>-140</c:v>
                      </c:pt>
                      <c:pt idx="27">
                        <c:v>-140</c:v>
                      </c:pt>
                      <c:pt idx="28">
                        <c:v>-140</c:v>
                      </c:pt>
                      <c:pt idx="29">
                        <c:v>-140</c:v>
                      </c:pt>
                      <c:pt idx="30">
                        <c:v>-140</c:v>
                      </c:pt>
                      <c:pt idx="31">
                        <c:v>-140</c:v>
                      </c:pt>
                      <c:pt idx="32">
                        <c:v>-140</c:v>
                      </c:pt>
                      <c:pt idx="33">
                        <c:v>-140</c:v>
                      </c:pt>
                      <c:pt idx="34">
                        <c:v>-140</c:v>
                      </c:pt>
                      <c:pt idx="35">
                        <c:v>-140</c:v>
                      </c:pt>
                      <c:pt idx="36">
                        <c:v>-140</c:v>
                      </c:pt>
                      <c:pt idx="37">
                        <c:v>-140</c:v>
                      </c:pt>
                      <c:pt idx="38">
                        <c:v>-140</c:v>
                      </c:pt>
                      <c:pt idx="39">
                        <c:v>-140</c:v>
                      </c:pt>
                      <c:pt idx="40">
                        <c:v>-140</c:v>
                      </c:pt>
                      <c:pt idx="41">
                        <c:v>-140</c:v>
                      </c:pt>
                      <c:pt idx="42">
                        <c:v>-140</c:v>
                      </c:pt>
                      <c:pt idx="43">
                        <c:v>-140</c:v>
                      </c:pt>
                      <c:pt idx="44">
                        <c:v>-140</c:v>
                      </c:pt>
                      <c:pt idx="45">
                        <c:v>-140</c:v>
                      </c:pt>
                      <c:pt idx="46">
                        <c:v>-140</c:v>
                      </c:pt>
                      <c:pt idx="47">
                        <c:v>-140</c:v>
                      </c:pt>
                      <c:pt idx="48">
                        <c:v>-140</c:v>
                      </c:pt>
                      <c:pt idx="49">
                        <c:v>-140</c:v>
                      </c:pt>
                      <c:pt idx="50">
                        <c:v>-140</c:v>
                      </c:pt>
                      <c:pt idx="51">
                        <c:v>-140</c:v>
                      </c:pt>
                      <c:pt idx="52">
                        <c:v>-140</c:v>
                      </c:pt>
                      <c:pt idx="53">
                        <c:v>-140</c:v>
                      </c:pt>
                      <c:pt idx="54">
                        <c:v>-140</c:v>
                      </c:pt>
                      <c:pt idx="55">
                        <c:v>-140</c:v>
                      </c:pt>
                      <c:pt idx="56">
                        <c:v>-140</c:v>
                      </c:pt>
                      <c:pt idx="57">
                        <c:v>-140</c:v>
                      </c:pt>
                      <c:pt idx="58">
                        <c:v>-140</c:v>
                      </c:pt>
                      <c:pt idx="59">
                        <c:v>-140</c:v>
                      </c:pt>
                      <c:pt idx="60">
                        <c:v>-140</c:v>
                      </c:pt>
                      <c:pt idx="61">
                        <c:v>-140</c:v>
                      </c:pt>
                      <c:pt idx="62">
                        <c:v>-140</c:v>
                      </c:pt>
                      <c:pt idx="63">
                        <c:v>-140</c:v>
                      </c:pt>
                      <c:pt idx="64">
                        <c:v>-140</c:v>
                      </c:pt>
                      <c:pt idx="65">
                        <c:v>-140</c:v>
                      </c:pt>
                      <c:pt idx="66">
                        <c:v>-140</c:v>
                      </c:pt>
                      <c:pt idx="67">
                        <c:v>-140</c:v>
                      </c:pt>
                      <c:pt idx="68">
                        <c:v>-140</c:v>
                      </c:pt>
                      <c:pt idx="69">
                        <c:v>-140</c:v>
                      </c:pt>
                      <c:pt idx="70">
                        <c:v>-140</c:v>
                      </c:pt>
                      <c:pt idx="71">
                        <c:v>-140</c:v>
                      </c:pt>
                      <c:pt idx="72">
                        <c:v>-140</c:v>
                      </c:pt>
                      <c:pt idx="73">
                        <c:v>-140</c:v>
                      </c:pt>
                      <c:pt idx="74">
                        <c:v>-140</c:v>
                      </c:pt>
                      <c:pt idx="75">
                        <c:v>-140</c:v>
                      </c:pt>
                      <c:pt idx="76">
                        <c:v>-140</c:v>
                      </c:pt>
                      <c:pt idx="77">
                        <c:v>-140</c:v>
                      </c:pt>
                      <c:pt idx="78">
                        <c:v>-140</c:v>
                      </c:pt>
                      <c:pt idx="79">
                        <c:v>-140</c:v>
                      </c:pt>
                      <c:pt idx="80">
                        <c:v>-140</c:v>
                      </c:pt>
                      <c:pt idx="81">
                        <c:v>-140</c:v>
                      </c:pt>
                      <c:pt idx="82">
                        <c:v>-140</c:v>
                      </c:pt>
                      <c:pt idx="83">
                        <c:v>-140</c:v>
                      </c:pt>
                      <c:pt idx="84">
                        <c:v>-140</c:v>
                      </c:pt>
                      <c:pt idx="85">
                        <c:v>-140</c:v>
                      </c:pt>
                      <c:pt idx="86">
                        <c:v>-140</c:v>
                      </c:pt>
                      <c:pt idx="87">
                        <c:v>-140</c:v>
                      </c:pt>
                      <c:pt idx="88">
                        <c:v>-140</c:v>
                      </c:pt>
                      <c:pt idx="89">
                        <c:v>-140</c:v>
                      </c:pt>
                      <c:pt idx="90">
                        <c:v>-140</c:v>
                      </c:pt>
                      <c:pt idx="91">
                        <c:v>-140</c:v>
                      </c:pt>
                      <c:pt idx="92">
                        <c:v>-140</c:v>
                      </c:pt>
                      <c:pt idx="93">
                        <c:v>-140</c:v>
                      </c:pt>
                      <c:pt idx="94">
                        <c:v>-140</c:v>
                      </c:pt>
                      <c:pt idx="95">
                        <c:v>-140</c:v>
                      </c:pt>
                      <c:pt idx="96">
                        <c:v>-140</c:v>
                      </c:pt>
                      <c:pt idx="97">
                        <c:v>-140</c:v>
                      </c:pt>
                      <c:pt idx="98">
                        <c:v>-140</c:v>
                      </c:pt>
                      <c:pt idx="99">
                        <c:v>-140</c:v>
                      </c:pt>
                      <c:pt idx="100">
                        <c:v>-140</c:v>
                      </c:pt>
                      <c:pt idx="101">
                        <c:v>-140</c:v>
                      </c:pt>
                      <c:pt idx="102">
                        <c:v>-140</c:v>
                      </c:pt>
                      <c:pt idx="103">
                        <c:v>-140</c:v>
                      </c:pt>
                      <c:pt idx="104">
                        <c:v>-140</c:v>
                      </c:pt>
                      <c:pt idx="105">
                        <c:v>-140</c:v>
                      </c:pt>
                      <c:pt idx="106">
                        <c:v>-140</c:v>
                      </c:pt>
                      <c:pt idx="107">
                        <c:v>-140</c:v>
                      </c:pt>
                      <c:pt idx="108">
                        <c:v>-140</c:v>
                      </c:pt>
                      <c:pt idx="109">
                        <c:v>-140</c:v>
                      </c:pt>
                      <c:pt idx="110">
                        <c:v>-140</c:v>
                      </c:pt>
                      <c:pt idx="111">
                        <c:v>-140</c:v>
                      </c:pt>
                      <c:pt idx="112">
                        <c:v>-140</c:v>
                      </c:pt>
                      <c:pt idx="113">
                        <c:v>-140</c:v>
                      </c:pt>
                      <c:pt idx="114">
                        <c:v>-140</c:v>
                      </c:pt>
                      <c:pt idx="115">
                        <c:v>-140</c:v>
                      </c:pt>
                      <c:pt idx="116">
                        <c:v>-140</c:v>
                      </c:pt>
                      <c:pt idx="117">
                        <c:v>-140</c:v>
                      </c:pt>
                      <c:pt idx="118">
                        <c:v>-140</c:v>
                      </c:pt>
                      <c:pt idx="119">
                        <c:v>-140</c:v>
                      </c:pt>
                      <c:pt idx="120">
                        <c:v>-140</c:v>
                      </c:pt>
                      <c:pt idx="121">
                        <c:v>-140</c:v>
                      </c:pt>
                      <c:pt idx="122">
                        <c:v>-140</c:v>
                      </c:pt>
                      <c:pt idx="123">
                        <c:v>-140</c:v>
                      </c:pt>
                      <c:pt idx="124">
                        <c:v>-140</c:v>
                      </c:pt>
                      <c:pt idx="125">
                        <c:v>-140</c:v>
                      </c:pt>
                      <c:pt idx="126">
                        <c:v>-140</c:v>
                      </c:pt>
                      <c:pt idx="127">
                        <c:v>-140</c:v>
                      </c:pt>
                      <c:pt idx="128">
                        <c:v>-140</c:v>
                      </c:pt>
                      <c:pt idx="129">
                        <c:v>-140</c:v>
                      </c:pt>
                      <c:pt idx="130">
                        <c:v>-140</c:v>
                      </c:pt>
                      <c:pt idx="131">
                        <c:v>-140</c:v>
                      </c:pt>
                      <c:pt idx="132">
                        <c:v>-140</c:v>
                      </c:pt>
                      <c:pt idx="133">
                        <c:v>-140</c:v>
                      </c:pt>
                      <c:pt idx="134">
                        <c:v>-140</c:v>
                      </c:pt>
                      <c:pt idx="135">
                        <c:v>-140</c:v>
                      </c:pt>
                      <c:pt idx="136">
                        <c:v>-140</c:v>
                      </c:pt>
                      <c:pt idx="137">
                        <c:v>-140</c:v>
                      </c:pt>
                      <c:pt idx="138">
                        <c:v>-140</c:v>
                      </c:pt>
                      <c:pt idx="139">
                        <c:v>-140</c:v>
                      </c:pt>
                      <c:pt idx="140">
                        <c:v>-140</c:v>
                      </c:pt>
                      <c:pt idx="141">
                        <c:v>-140</c:v>
                      </c:pt>
                      <c:pt idx="142">
                        <c:v>-140</c:v>
                      </c:pt>
                      <c:pt idx="143">
                        <c:v>-140</c:v>
                      </c:pt>
                      <c:pt idx="144">
                        <c:v>-140</c:v>
                      </c:pt>
                      <c:pt idx="145">
                        <c:v>-140</c:v>
                      </c:pt>
                      <c:pt idx="146">
                        <c:v>-140</c:v>
                      </c:pt>
                      <c:pt idx="147">
                        <c:v>-140</c:v>
                      </c:pt>
                      <c:pt idx="148">
                        <c:v>-140</c:v>
                      </c:pt>
                      <c:pt idx="149">
                        <c:v>-140</c:v>
                      </c:pt>
                      <c:pt idx="150">
                        <c:v>-140</c:v>
                      </c:pt>
                      <c:pt idx="151">
                        <c:v>-140</c:v>
                      </c:pt>
                      <c:pt idx="152">
                        <c:v>-140</c:v>
                      </c:pt>
                      <c:pt idx="153">
                        <c:v>-140</c:v>
                      </c:pt>
                      <c:pt idx="154">
                        <c:v>-140</c:v>
                      </c:pt>
                      <c:pt idx="155">
                        <c:v>-140</c:v>
                      </c:pt>
                      <c:pt idx="156">
                        <c:v>-140</c:v>
                      </c:pt>
                      <c:pt idx="157">
                        <c:v>-140</c:v>
                      </c:pt>
                      <c:pt idx="158">
                        <c:v>-140</c:v>
                      </c:pt>
                      <c:pt idx="159">
                        <c:v>-140</c:v>
                      </c:pt>
                      <c:pt idx="160">
                        <c:v>-140</c:v>
                      </c:pt>
                      <c:pt idx="161">
                        <c:v>-140</c:v>
                      </c:pt>
                      <c:pt idx="162">
                        <c:v>-140</c:v>
                      </c:pt>
                      <c:pt idx="163">
                        <c:v>-140</c:v>
                      </c:pt>
                      <c:pt idx="164">
                        <c:v>-140</c:v>
                      </c:pt>
                      <c:pt idx="165">
                        <c:v>-140</c:v>
                      </c:pt>
                      <c:pt idx="166">
                        <c:v>-140</c:v>
                      </c:pt>
                      <c:pt idx="167">
                        <c:v>-140</c:v>
                      </c:pt>
                      <c:pt idx="168">
                        <c:v>-140</c:v>
                      </c:pt>
                      <c:pt idx="169">
                        <c:v>-140</c:v>
                      </c:pt>
                      <c:pt idx="170">
                        <c:v>-140</c:v>
                      </c:pt>
                      <c:pt idx="171">
                        <c:v>-140</c:v>
                      </c:pt>
                      <c:pt idx="172">
                        <c:v>-140</c:v>
                      </c:pt>
                      <c:pt idx="173">
                        <c:v>-140</c:v>
                      </c:pt>
                      <c:pt idx="174">
                        <c:v>-140</c:v>
                      </c:pt>
                      <c:pt idx="175">
                        <c:v>-140</c:v>
                      </c:pt>
                      <c:pt idx="176">
                        <c:v>-140</c:v>
                      </c:pt>
                      <c:pt idx="177">
                        <c:v>-140</c:v>
                      </c:pt>
                      <c:pt idx="178">
                        <c:v>-140</c:v>
                      </c:pt>
                      <c:pt idx="179">
                        <c:v>-140</c:v>
                      </c:pt>
                      <c:pt idx="180">
                        <c:v>-140</c:v>
                      </c:pt>
                      <c:pt idx="181">
                        <c:v>-140</c:v>
                      </c:pt>
                      <c:pt idx="182">
                        <c:v>-140</c:v>
                      </c:pt>
                      <c:pt idx="183">
                        <c:v>-140</c:v>
                      </c:pt>
                      <c:pt idx="184">
                        <c:v>-140</c:v>
                      </c:pt>
                      <c:pt idx="185">
                        <c:v>-140</c:v>
                      </c:pt>
                      <c:pt idx="186">
                        <c:v>-140</c:v>
                      </c:pt>
                      <c:pt idx="187">
                        <c:v>-140</c:v>
                      </c:pt>
                      <c:pt idx="188">
                        <c:v>-140</c:v>
                      </c:pt>
                      <c:pt idx="189">
                        <c:v>-140</c:v>
                      </c:pt>
                      <c:pt idx="190">
                        <c:v>-140</c:v>
                      </c:pt>
                      <c:pt idx="191">
                        <c:v>-140</c:v>
                      </c:pt>
                      <c:pt idx="192">
                        <c:v>-140</c:v>
                      </c:pt>
                      <c:pt idx="193">
                        <c:v>-140</c:v>
                      </c:pt>
                      <c:pt idx="194">
                        <c:v>-140</c:v>
                      </c:pt>
                      <c:pt idx="195">
                        <c:v>-140</c:v>
                      </c:pt>
                      <c:pt idx="196">
                        <c:v>-140</c:v>
                      </c:pt>
                      <c:pt idx="197">
                        <c:v>-140</c:v>
                      </c:pt>
                      <c:pt idx="198">
                        <c:v>-140</c:v>
                      </c:pt>
                      <c:pt idx="199">
                        <c:v>-140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84BA-4B27-90CF-23E3B49F7A94}"/>
                  </c:ext>
                </c:extLst>
              </c15:ser>
            </c15:filteredScatterSeries>
            <c15:filteredScatterSeries>
              <c15:ser>
                <c:idx val="12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Calculate!$P$1</c15:sqref>
                        </c15:formulaRef>
                      </c:ext>
                    </c:extLst>
                    <c:strCache>
                      <c:ptCount val="1"/>
                      <c:pt idx="0">
                        <c:v>EC_cancelation_us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Calculate!$P$2:$P$201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84BA-4B27-90CF-23E3B49F7A94}"/>
                  </c:ext>
                </c:extLst>
              </c15:ser>
            </c15:filteredScatterSeries>
            <c15:filteredScatterSeries>
              <c15:ser>
                <c:idx val="13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Calculate!$Q$1</c15:sqref>
                        </c15:formulaRef>
                      </c:ext>
                    </c:extLst>
                    <c:strCache>
                      <c:ptCount val="1"/>
                      <c:pt idx="0">
                        <c:v>EC_cancelation_ds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Calculate!$Q$2:$Q$201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6</c:v>
                      </c:pt>
                      <c:pt idx="1">
                        <c:v>6</c:v>
                      </c:pt>
                      <c:pt idx="2">
                        <c:v>6</c:v>
                      </c:pt>
                      <c:pt idx="3">
                        <c:v>6</c:v>
                      </c:pt>
                      <c:pt idx="4">
                        <c:v>6</c:v>
                      </c:pt>
                      <c:pt idx="5">
                        <c:v>6</c:v>
                      </c:pt>
                      <c:pt idx="6">
                        <c:v>6</c:v>
                      </c:pt>
                      <c:pt idx="7">
                        <c:v>6</c:v>
                      </c:pt>
                      <c:pt idx="8">
                        <c:v>6</c:v>
                      </c:pt>
                      <c:pt idx="9">
                        <c:v>6</c:v>
                      </c:pt>
                      <c:pt idx="10">
                        <c:v>6</c:v>
                      </c:pt>
                      <c:pt idx="11">
                        <c:v>6</c:v>
                      </c:pt>
                      <c:pt idx="12">
                        <c:v>6</c:v>
                      </c:pt>
                      <c:pt idx="13">
                        <c:v>6</c:v>
                      </c:pt>
                      <c:pt idx="14">
                        <c:v>6</c:v>
                      </c:pt>
                      <c:pt idx="15">
                        <c:v>6</c:v>
                      </c:pt>
                      <c:pt idx="16">
                        <c:v>6</c:v>
                      </c:pt>
                      <c:pt idx="17">
                        <c:v>6</c:v>
                      </c:pt>
                      <c:pt idx="18">
                        <c:v>6</c:v>
                      </c:pt>
                      <c:pt idx="19">
                        <c:v>6</c:v>
                      </c:pt>
                      <c:pt idx="20">
                        <c:v>6</c:v>
                      </c:pt>
                      <c:pt idx="21">
                        <c:v>6</c:v>
                      </c:pt>
                      <c:pt idx="22">
                        <c:v>6</c:v>
                      </c:pt>
                      <c:pt idx="23">
                        <c:v>6</c:v>
                      </c:pt>
                      <c:pt idx="24">
                        <c:v>6</c:v>
                      </c:pt>
                      <c:pt idx="25">
                        <c:v>6</c:v>
                      </c:pt>
                      <c:pt idx="26">
                        <c:v>6</c:v>
                      </c:pt>
                      <c:pt idx="27">
                        <c:v>6</c:v>
                      </c:pt>
                      <c:pt idx="28">
                        <c:v>6</c:v>
                      </c:pt>
                      <c:pt idx="29">
                        <c:v>6</c:v>
                      </c:pt>
                      <c:pt idx="30">
                        <c:v>6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6</c:v>
                      </c:pt>
                      <c:pt idx="34">
                        <c:v>6</c:v>
                      </c:pt>
                      <c:pt idx="35">
                        <c:v>6</c:v>
                      </c:pt>
                      <c:pt idx="36">
                        <c:v>6</c:v>
                      </c:pt>
                      <c:pt idx="37">
                        <c:v>6</c:v>
                      </c:pt>
                      <c:pt idx="38">
                        <c:v>6</c:v>
                      </c:pt>
                      <c:pt idx="39">
                        <c:v>6</c:v>
                      </c:pt>
                      <c:pt idx="40">
                        <c:v>6</c:v>
                      </c:pt>
                      <c:pt idx="41">
                        <c:v>6</c:v>
                      </c:pt>
                      <c:pt idx="42">
                        <c:v>6</c:v>
                      </c:pt>
                      <c:pt idx="43">
                        <c:v>6</c:v>
                      </c:pt>
                      <c:pt idx="44">
                        <c:v>6</c:v>
                      </c:pt>
                      <c:pt idx="45">
                        <c:v>6</c:v>
                      </c:pt>
                      <c:pt idx="46">
                        <c:v>6</c:v>
                      </c:pt>
                      <c:pt idx="47">
                        <c:v>6</c:v>
                      </c:pt>
                      <c:pt idx="48">
                        <c:v>6</c:v>
                      </c:pt>
                      <c:pt idx="49">
                        <c:v>6</c:v>
                      </c:pt>
                      <c:pt idx="50">
                        <c:v>6</c:v>
                      </c:pt>
                      <c:pt idx="51">
                        <c:v>6</c:v>
                      </c:pt>
                      <c:pt idx="52">
                        <c:v>6</c:v>
                      </c:pt>
                      <c:pt idx="53">
                        <c:v>6</c:v>
                      </c:pt>
                      <c:pt idx="54">
                        <c:v>6</c:v>
                      </c:pt>
                      <c:pt idx="55">
                        <c:v>6</c:v>
                      </c:pt>
                      <c:pt idx="56">
                        <c:v>6</c:v>
                      </c:pt>
                      <c:pt idx="57">
                        <c:v>6</c:v>
                      </c:pt>
                      <c:pt idx="58">
                        <c:v>6</c:v>
                      </c:pt>
                      <c:pt idx="59">
                        <c:v>6</c:v>
                      </c:pt>
                      <c:pt idx="60">
                        <c:v>6</c:v>
                      </c:pt>
                      <c:pt idx="61">
                        <c:v>6</c:v>
                      </c:pt>
                      <c:pt idx="62">
                        <c:v>6</c:v>
                      </c:pt>
                      <c:pt idx="63">
                        <c:v>6</c:v>
                      </c:pt>
                      <c:pt idx="64">
                        <c:v>6</c:v>
                      </c:pt>
                      <c:pt idx="65">
                        <c:v>6</c:v>
                      </c:pt>
                      <c:pt idx="66">
                        <c:v>6</c:v>
                      </c:pt>
                      <c:pt idx="67">
                        <c:v>6</c:v>
                      </c:pt>
                      <c:pt idx="68">
                        <c:v>6</c:v>
                      </c:pt>
                      <c:pt idx="69">
                        <c:v>6</c:v>
                      </c:pt>
                      <c:pt idx="70">
                        <c:v>6</c:v>
                      </c:pt>
                      <c:pt idx="71">
                        <c:v>6</c:v>
                      </c:pt>
                      <c:pt idx="72">
                        <c:v>6</c:v>
                      </c:pt>
                      <c:pt idx="73">
                        <c:v>6</c:v>
                      </c:pt>
                      <c:pt idx="74">
                        <c:v>6</c:v>
                      </c:pt>
                      <c:pt idx="75">
                        <c:v>6</c:v>
                      </c:pt>
                      <c:pt idx="76">
                        <c:v>6</c:v>
                      </c:pt>
                      <c:pt idx="77">
                        <c:v>6</c:v>
                      </c:pt>
                      <c:pt idx="78">
                        <c:v>6</c:v>
                      </c:pt>
                      <c:pt idx="79">
                        <c:v>6</c:v>
                      </c:pt>
                      <c:pt idx="80">
                        <c:v>6</c:v>
                      </c:pt>
                      <c:pt idx="81">
                        <c:v>6</c:v>
                      </c:pt>
                      <c:pt idx="82">
                        <c:v>6</c:v>
                      </c:pt>
                      <c:pt idx="83">
                        <c:v>6</c:v>
                      </c:pt>
                      <c:pt idx="84">
                        <c:v>6</c:v>
                      </c:pt>
                      <c:pt idx="85">
                        <c:v>6</c:v>
                      </c:pt>
                      <c:pt idx="86">
                        <c:v>6</c:v>
                      </c:pt>
                      <c:pt idx="87">
                        <c:v>6</c:v>
                      </c:pt>
                      <c:pt idx="88">
                        <c:v>6</c:v>
                      </c:pt>
                      <c:pt idx="89">
                        <c:v>6</c:v>
                      </c:pt>
                      <c:pt idx="90">
                        <c:v>6</c:v>
                      </c:pt>
                      <c:pt idx="91">
                        <c:v>6</c:v>
                      </c:pt>
                      <c:pt idx="92">
                        <c:v>6</c:v>
                      </c:pt>
                      <c:pt idx="93">
                        <c:v>6</c:v>
                      </c:pt>
                      <c:pt idx="94">
                        <c:v>6</c:v>
                      </c:pt>
                      <c:pt idx="95">
                        <c:v>6</c:v>
                      </c:pt>
                      <c:pt idx="96">
                        <c:v>6</c:v>
                      </c:pt>
                      <c:pt idx="97">
                        <c:v>6</c:v>
                      </c:pt>
                      <c:pt idx="98">
                        <c:v>6</c:v>
                      </c:pt>
                      <c:pt idx="99">
                        <c:v>6</c:v>
                      </c:pt>
                      <c:pt idx="100">
                        <c:v>6</c:v>
                      </c:pt>
                      <c:pt idx="101">
                        <c:v>6</c:v>
                      </c:pt>
                      <c:pt idx="102">
                        <c:v>6</c:v>
                      </c:pt>
                      <c:pt idx="103">
                        <c:v>6</c:v>
                      </c:pt>
                      <c:pt idx="104">
                        <c:v>6</c:v>
                      </c:pt>
                      <c:pt idx="105">
                        <c:v>6</c:v>
                      </c:pt>
                      <c:pt idx="106">
                        <c:v>6</c:v>
                      </c:pt>
                      <c:pt idx="107">
                        <c:v>6</c:v>
                      </c:pt>
                      <c:pt idx="108">
                        <c:v>6</c:v>
                      </c:pt>
                      <c:pt idx="109">
                        <c:v>6</c:v>
                      </c:pt>
                      <c:pt idx="110">
                        <c:v>6</c:v>
                      </c:pt>
                      <c:pt idx="111">
                        <c:v>6</c:v>
                      </c:pt>
                      <c:pt idx="112">
                        <c:v>6</c:v>
                      </c:pt>
                      <c:pt idx="113">
                        <c:v>6</c:v>
                      </c:pt>
                      <c:pt idx="114">
                        <c:v>6</c:v>
                      </c:pt>
                      <c:pt idx="115">
                        <c:v>6</c:v>
                      </c:pt>
                      <c:pt idx="116">
                        <c:v>6</c:v>
                      </c:pt>
                      <c:pt idx="117">
                        <c:v>6</c:v>
                      </c:pt>
                      <c:pt idx="118">
                        <c:v>6</c:v>
                      </c:pt>
                      <c:pt idx="119">
                        <c:v>6</c:v>
                      </c:pt>
                      <c:pt idx="120">
                        <c:v>6</c:v>
                      </c:pt>
                      <c:pt idx="121">
                        <c:v>6</c:v>
                      </c:pt>
                      <c:pt idx="122">
                        <c:v>6</c:v>
                      </c:pt>
                      <c:pt idx="123">
                        <c:v>6</c:v>
                      </c:pt>
                      <c:pt idx="124">
                        <c:v>6</c:v>
                      </c:pt>
                      <c:pt idx="125">
                        <c:v>6</c:v>
                      </c:pt>
                      <c:pt idx="126">
                        <c:v>6</c:v>
                      </c:pt>
                      <c:pt idx="127">
                        <c:v>6</c:v>
                      </c:pt>
                      <c:pt idx="128">
                        <c:v>6</c:v>
                      </c:pt>
                      <c:pt idx="129">
                        <c:v>6</c:v>
                      </c:pt>
                      <c:pt idx="130">
                        <c:v>6</c:v>
                      </c:pt>
                      <c:pt idx="131">
                        <c:v>6</c:v>
                      </c:pt>
                      <c:pt idx="132">
                        <c:v>6</c:v>
                      </c:pt>
                      <c:pt idx="133">
                        <c:v>6</c:v>
                      </c:pt>
                      <c:pt idx="134">
                        <c:v>6</c:v>
                      </c:pt>
                      <c:pt idx="135">
                        <c:v>6</c:v>
                      </c:pt>
                      <c:pt idx="136">
                        <c:v>6</c:v>
                      </c:pt>
                      <c:pt idx="137">
                        <c:v>6</c:v>
                      </c:pt>
                      <c:pt idx="138">
                        <c:v>6</c:v>
                      </c:pt>
                      <c:pt idx="139">
                        <c:v>6</c:v>
                      </c:pt>
                      <c:pt idx="140">
                        <c:v>6</c:v>
                      </c:pt>
                      <c:pt idx="141">
                        <c:v>6</c:v>
                      </c:pt>
                      <c:pt idx="142">
                        <c:v>6</c:v>
                      </c:pt>
                      <c:pt idx="143">
                        <c:v>6</c:v>
                      </c:pt>
                      <c:pt idx="144">
                        <c:v>6</c:v>
                      </c:pt>
                      <c:pt idx="145">
                        <c:v>6</c:v>
                      </c:pt>
                      <c:pt idx="146">
                        <c:v>6</c:v>
                      </c:pt>
                      <c:pt idx="147">
                        <c:v>6</c:v>
                      </c:pt>
                      <c:pt idx="148">
                        <c:v>6</c:v>
                      </c:pt>
                      <c:pt idx="149">
                        <c:v>6</c:v>
                      </c:pt>
                      <c:pt idx="150">
                        <c:v>6</c:v>
                      </c:pt>
                      <c:pt idx="151">
                        <c:v>6</c:v>
                      </c:pt>
                      <c:pt idx="152">
                        <c:v>6</c:v>
                      </c:pt>
                      <c:pt idx="153">
                        <c:v>6</c:v>
                      </c:pt>
                      <c:pt idx="154">
                        <c:v>6</c:v>
                      </c:pt>
                      <c:pt idx="155">
                        <c:v>6</c:v>
                      </c:pt>
                      <c:pt idx="156">
                        <c:v>6</c:v>
                      </c:pt>
                      <c:pt idx="157">
                        <c:v>6</c:v>
                      </c:pt>
                      <c:pt idx="158">
                        <c:v>6</c:v>
                      </c:pt>
                      <c:pt idx="159">
                        <c:v>6</c:v>
                      </c:pt>
                      <c:pt idx="160">
                        <c:v>6</c:v>
                      </c:pt>
                      <c:pt idx="161">
                        <c:v>6</c:v>
                      </c:pt>
                      <c:pt idx="162">
                        <c:v>6</c:v>
                      </c:pt>
                      <c:pt idx="163">
                        <c:v>6</c:v>
                      </c:pt>
                      <c:pt idx="164">
                        <c:v>6</c:v>
                      </c:pt>
                      <c:pt idx="165">
                        <c:v>6</c:v>
                      </c:pt>
                      <c:pt idx="166">
                        <c:v>6</c:v>
                      </c:pt>
                      <c:pt idx="167">
                        <c:v>6</c:v>
                      </c:pt>
                      <c:pt idx="168">
                        <c:v>6</c:v>
                      </c:pt>
                      <c:pt idx="169">
                        <c:v>6</c:v>
                      </c:pt>
                      <c:pt idx="170">
                        <c:v>6</c:v>
                      </c:pt>
                      <c:pt idx="171">
                        <c:v>6</c:v>
                      </c:pt>
                      <c:pt idx="172">
                        <c:v>6</c:v>
                      </c:pt>
                      <c:pt idx="173">
                        <c:v>6</c:v>
                      </c:pt>
                      <c:pt idx="174">
                        <c:v>6</c:v>
                      </c:pt>
                      <c:pt idx="175">
                        <c:v>6</c:v>
                      </c:pt>
                      <c:pt idx="176">
                        <c:v>6</c:v>
                      </c:pt>
                      <c:pt idx="177">
                        <c:v>6</c:v>
                      </c:pt>
                      <c:pt idx="178">
                        <c:v>6</c:v>
                      </c:pt>
                      <c:pt idx="179">
                        <c:v>6</c:v>
                      </c:pt>
                      <c:pt idx="180">
                        <c:v>6</c:v>
                      </c:pt>
                      <c:pt idx="181">
                        <c:v>6</c:v>
                      </c:pt>
                      <c:pt idx="182">
                        <c:v>6</c:v>
                      </c:pt>
                      <c:pt idx="183">
                        <c:v>6</c:v>
                      </c:pt>
                      <c:pt idx="184">
                        <c:v>6</c:v>
                      </c:pt>
                      <c:pt idx="185">
                        <c:v>6</c:v>
                      </c:pt>
                      <c:pt idx="186">
                        <c:v>6</c:v>
                      </c:pt>
                      <c:pt idx="187">
                        <c:v>6</c:v>
                      </c:pt>
                      <c:pt idx="188">
                        <c:v>6</c:v>
                      </c:pt>
                      <c:pt idx="189">
                        <c:v>6</c:v>
                      </c:pt>
                      <c:pt idx="190">
                        <c:v>6</c:v>
                      </c:pt>
                      <c:pt idx="191">
                        <c:v>6</c:v>
                      </c:pt>
                      <c:pt idx="192">
                        <c:v>6</c:v>
                      </c:pt>
                      <c:pt idx="193">
                        <c:v>6</c:v>
                      </c:pt>
                      <c:pt idx="194">
                        <c:v>6</c:v>
                      </c:pt>
                      <c:pt idx="195">
                        <c:v>6</c:v>
                      </c:pt>
                      <c:pt idx="196">
                        <c:v>6</c:v>
                      </c:pt>
                      <c:pt idx="197">
                        <c:v>6</c:v>
                      </c:pt>
                      <c:pt idx="198">
                        <c:v>6</c:v>
                      </c:pt>
                      <c:pt idx="199">
                        <c:v>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84BA-4B27-90CF-23E3B49F7A94}"/>
                  </c:ext>
                </c:extLst>
              </c15:ser>
            </c15:filteredScatterSeries>
            <c15:filteredScatterSeries>
              <c15:ser>
                <c:idx val="14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Calculate!$R$1</c15:sqref>
                        </c15:formulaRef>
                      </c:ext>
                    </c:extLst>
                    <c:strCache>
                      <c:ptCount val="1"/>
                      <c:pt idx="0">
                        <c:v>Echo_res_us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Calculate!$R$2:$R$201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84BA-4B27-90CF-23E3B49F7A94}"/>
                  </c:ext>
                </c:extLst>
              </c15:ser>
            </c15:filteredScatterSeries>
            <c15:filteredScatterSeries>
              <c15:ser>
                <c:idx val="15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Calculate!$S$1</c15:sqref>
                        </c15:formulaRef>
                      </c:ext>
                    </c:extLst>
                    <c:strCache>
                      <c:ptCount val="1"/>
                      <c:pt idx="0">
                        <c:v>Echo_res_ds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Calculate!$S$2:$S$201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-145.00128545127743</c:v>
                      </c:pt>
                      <c:pt idx="1">
                        <c:v>-145.00172437729864</c:v>
                      </c:pt>
                      <c:pt idx="2">
                        <c:v>-145.002455940385</c:v>
                      </c:pt>
                      <c:pt idx="3">
                        <c:v>-145.003480170117</c:v>
                      </c:pt>
                      <c:pt idx="4">
                        <c:v>-145.00479710791049</c:v>
                      </c:pt>
                      <c:pt idx="5">
                        <c:v>-145.0064068070366</c:v>
                      </c:pt>
                      <c:pt idx="6">
                        <c:v>-145.0083093326152</c:v>
                      </c:pt>
                      <c:pt idx="7">
                        <c:v>-145.01050476164832</c:v>
                      </c:pt>
                      <c:pt idx="8">
                        <c:v>-145.01299318300858</c:v>
                      </c:pt>
                      <c:pt idx="9">
                        <c:v>-145.01577469748435</c:v>
                      </c:pt>
                      <c:pt idx="10">
                        <c:v>-145.01884941778144</c:v>
                      </c:pt>
                      <c:pt idx="11">
                        <c:v>-145.02221746854903</c:v>
                      </c:pt>
                      <c:pt idx="12">
                        <c:v>-145.02587898640425</c:v>
                      </c:pt>
                      <c:pt idx="13">
                        <c:v>-145.02983411995723</c:v>
                      </c:pt>
                      <c:pt idx="14">
                        <c:v>-145.03408302983954</c:v>
                      </c:pt>
                      <c:pt idx="15">
                        <c:v>-145.03862588874188</c:v>
                      </c:pt>
                      <c:pt idx="16">
                        <c:v>-145.04346288144436</c:v>
                      </c:pt>
                      <c:pt idx="17">
                        <c:v>-145.04859420484914</c:v>
                      </c:pt>
                      <c:pt idx="18">
                        <c:v>-145.05402006800432</c:v>
                      </c:pt>
                      <c:pt idx="19">
                        <c:v>-145.05974069218593</c:v>
                      </c:pt>
                      <c:pt idx="20">
                        <c:v>-145.06575631090701</c:v>
                      </c:pt>
                      <c:pt idx="21">
                        <c:v>-145.0720671699606</c:v>
                      </c:pt>
                      <c:pt idx="22">
                        <c:v>-145.07867352749111</c:v>
                      </c:pt>
                      <c:pt idx="23">
                        <c:v>-145.08557565402734</c:v>
                      </c:pt>
                      <c:pt idx="24">
                        <c:v>-145.09277383256077</c:v>
                      </c:pt>
                      <c:pt idx="25">
                        <c:v>-145.10026835854759</c:v>
                      </c:pt>
                      <c:pt idx="26">
                        <c:v>-145.10805954001967</c:v>
                      </c:pt>
                      <c:pt idx="27">
                        <c:v>-145.11614769764742</c:v>
                      </c:pt>
                      <c:pt idx="28">
                        <c:v>-145.12453316471894</c:v>
                      </c:pt>
                      <c:pt idx="29">
                        <c:v>-145.13321628735756</c:v>
                      </c:pt>
                      <c:pt idx="30">
                        <c:v>-145.14219742443044</c:v>
                      </c:pt>
                      <c:pt idx="31">
                        <c:v>-145.15147694771602</c:v>
                      </c:pt>
                      <c:pt idx="32">
                        <c:v>-145.16105524198531</c:v>
                      </c:pt>
                      <c:pt idx="33">
                        <c:v>-145.17093270499362</c:v>
                      </c:pt>
                      <c:pt idx="34">
                        <c:v>-145.18110974765884</c:v>
                      </c:pt>
                      <c:pt idx="35">
                        <c:v>-145.19158679407917</c:v>
                      </c:pt>
                      <c:pt idx="36">
                        <c:v>-145.20236428164009</c:v>
                      </c:pt>
                      <c:pt idx="37">
                        <c:v>-145.2134426610865</c:v>
                      </c:pt>
                      <c:pt idx="38">
                        <c:v>-145.22482239668687</c:v>
                      </c:pt>
                      <c:pt idx="39">
                        <c:v>-145.2365039662084</c:v>
                      </c:pt>
                      <c:pt idx="40">
                        <c:v>-145.24848786108643</c:v>
                      </c:pt>
                      <c:pt idx="41">
                        <c:v>-145.26077458658386</c:v>
                      </c:pt>
                      <c:pt idx="42">
                        <c:v>-145.27336466170684</c:v>
                      </c:pt>
                      <c:pt idx="43">
                        <c:v>-145.28625861953807</c:v>
                      </c:pt>
                      <c:pt idx="44">
                        <c:v>-145.29945700717121</c:v>
                      </c:pt>
                      <c:pt idx="45">
                        <c:v>-145.31296038591654</c:v>
                      </c:pt>
                      <c:pt idx="46">
                        <c:v>-145.32676933140201</c:v>
                      </c:pt>
                      <c:pt idx="47">
                        <c:v>-145.34088443368231</c:v>
                      </c:pt>
                      <c:pt idx="48">
                        <c:v>-145.35530629735985</c:v>
                      </c:pt>
                      <c:pt idx="49">
                        <c:v>-145.37003554171298</c:v>
                      </c:pt>
                      <c:pt idx="50">
                        <c:v>-145.38507280081362</c:v>
                      </c:pt>
                      <c:pt idx="51">
                        <c:v>-145.40041872371503</c:v>
                      </c:pt>
                      <c:pt idx="52">
                        <c:v>-145.41607397453052</c:v>
                      </c:pt>
                      <c:pt idx="53">
                        <c:v>-145.43203923256658</c:v>
                      </c:pt>
                      <c:pt idx="54">
                        <c:v>-145.4483151926006</c:v>
                      </c:pt>
                      <c:pt idx="55">
                        <c:v>-145.4649025648375</c:v>
                      </c:pt>
                      <c:pt idx="56">
                        <c:v>-145.48180207512135</c:v>
                      </c:pt>
                      <c:pt idx="57">
                        <c:v>-145.49901446524166</c:v>
                      </c:pt>
                      <c:pt idx="58">
                        <c:v>-145.51654049288038</c:v>
                      </c:pt>
                      <c:pt idx="59">
                        <c:v>-145.53438093195459</c:v>
                      </c:pt>
                      <c:pt idx="60">
                        <c:v>-145.55253657260266</c:v>
                      </c:pt>
                      <c:pt idx="61">
                        <c:v>-145.57100822158247</c:v>
                      </c:pt>
                      <c:pt idx="62">
                        <c:v>-145.58979670225966</c:v>
                      </c:pt>
                      <c:pt idx="63">
                        <c:v>-145.6089028548345</c:v>
                      </c:pt>
                      <c:pt idx="64">
                        <c:v>-145.62832753667536</c:v>
                      </c:pt>
                      <c:pt idx="65">
                        <c:v>-145.64807162225352</c:v>
                      </c:pt>
                      <c:pt idx="66">
                        <c:v>-145.66813600356548</c:v>
                      </c:pt>
                      <c:pt idx="67">
                        <c:v>-145.68852159022072</c:v>
                      </c:pt>
                      <c:pt idx="68">
                        <c:v>-145.70922930972441</c:v>
                      </c:pt>
                      <c:pt idx="69">
                        <c:v>-145.73026010756018</c:v>
                      </c:pt>
                      <c:pt idx="70">
                        <c:v>-145.75161494759072</c:v>
                      </c:pt>
                      <c:pt idx="71">
                        <c:v>-145.77329481211962</c:v>
                      </c:pt>
                      <c:pt idx="72">
                        <c:v>-145.79530070216293</c:v>
                      </c:pt>
                      <c:pt idx="73">
                        <c:v>-145.81763363778902</c:v>
                      </c:pt>
                      <c:pt idx="74">
                        <c:v>-145.84029465822888</c:v>
                      </c:pt>
                      <c:pt idx="75">
                        <c:v>-145.86328482209717</c:v>
                      </c:pt>
                      <c:pt idx="76">
                        <c:v>-145.88660520785444</c:v>
                      </c:pt>
                      <c:pt idx="77">
                        <c:v>-145.91025691385533</c:v>
                      </c:pt>
                      <c:pt idx="78">
                        <c:v>-145.93424105865503</c:v>
                      </c:pt>
                      <c:pt idx="79">
                        <c:v>-145.95855878131746</c:v>
                      </c:pt>
                      <c:pt idx="80">
                        <c:v>-145.98321124177559</c:v>
                      </c:pt>
                      <c:pt idx="81">
                        <c:v>-146.00819962091217</c:v>
                      </c:pt>
                      <c:pt idx="82">
                        <c:v>-146.03352512099016</c:v>
                      </c:pt>
                      <c:pt idx="83">
                        <c:v>-146.05918896599511</c:v>
                      </c:pt>
                      <c:pt idx="84">
                        <c:v>-146.08519240174527</c:v>
                      </c:pt>
                      <c:pt idx="85">
                        <c:v>-146.11153669651063</c:v>
                      </c:pt>
                      <c:pt idx="86">
                        <c:v>-146.13822314095614</c:v>
                      </c:pt>
                      <c:pt idx="87">
                        <c:v>-146.16525304882384</c:v>
                      </c:pt>
                      <c:pt idx="88">
                        <c:v>-146.19262775699715</c:v>
                      </c:pt>
                      <c:pt idx="89">
                        <c:v>-146.22034862606694</c:v>
                      </c:pt>
                      <c:pt idx="90">
                        <c:v>-146.24841704051809</c:v>
                      </c:pt>
                      <c:pt idx="91">
                        <c:v>-146.27683440914163</c:v>
                      </c:pt>
                      <c:pt idx="92">
                        <c:v>-146.30560216545882</c:v>
                      </c:pt>
                      <c:pt idx="93">
                        <c:v>-146.33472176813314</c:v>
                      </c:pt>
                      <c:pt idx="94">
                        <c:v>-146.36419470107137</c:v>
                      </c:pt>
                      <c:pt idx="95">
                        <c:v>-146.39402247423115</c:v>
                      </c:pt>
                      <c:pt idx="96">
                        <c:v>-146.42420662379192</c:v>
                      </c:pt>
                      <c:pt idx="97">
                        <c:v>-146.45474871262155</c:v>
                      </c:pt>
                      <c:pt idx="98">
                        <c:v>-146.48565033067086</c:v>
                      </c:pt>
                      <c:pt idx="99">
                        <c:v>-146.51691309546055</c:v>
                      </c:pt>
                      <c:pt idx="100">
                        <c:v>-146.54853865256615</c:v>
                      </c:pt>
                      <c:pt idx="101">
                        <c:v>-146.58052867594895</c:v>
                      </c:pt>
                      <c:pt idx="102">
                        <c:v>-146.61288486861122</c:v>
                      </c:pt>
                      <c:pt idx="103">
                        <c:v>-146.64560896291815</c:v>
                      </c:pt>
                      <c:pt idx="104">
                        <c:v>-146.67870272119677</c:v>
                      </c:pt>
                      <c:pt idx="105">
                        <c:v>-146.71216793616219</c:v>
                      </c:pt>
                      <c:pt idx="106">
                        <c:v>-146.74600643158408</c:v>
                      </c:pt>
                      <c:pt idx="107">
                        <c:v>-146.78022006270857</c:v>
                      </c:pt>
                      <c:pt idx="108">
                        <c:v>-146.81481071680849</c:v>
                      </c:pt>
                      <c:pt idx="109">
                        <c:v>-146.84978031369525</c:v>
                      </c:pt>
                      <c:pt idx="110">
                        <c:v>-146.88513080655616</c:v>
                      </c:pt>
                      <c:pt idx="111">
                        <c:v>-146.92086418213853</c:v>
                      </c:pt>
                      <c:pt idx="112">
                        <c:v>-146.95698246194601</c:v>
                      </c:pt>
                      <c:pt idx="113">
                        <c:v>-146.99348770212939</c:v>
                      </c:pt>
                      <c:pt idx="114">
                        <c:v>-147.03038199471806</c:v>
                      </c:pt>
                      <c:pt idx="115">
                        <c:v>-147.06766746797064</c:v>
                      </c:pt>
                      <c:pt idx="116">
                        <c:v>-147.10534628730665</c:v>
                      </c:pt>
                      <c:pt idx="117">
                        <c:v>-147.14342065561206</c:v>
                      </c:pt>
                      <c:pt idx="118">
                        <c:v>-147.18189281442736</c:v>
                      </c:pt>
                      <c:pt idx="119">
                        <c:v>-147.22076504423401</c:v>
                      </c:pt>
                      <c:pt idx="120">
                        <c:v>-147.26003966545784</c:v>
                      </c:pt>
                      <c:pt idx="121">
                        <c:v>-147.29971903930814</c:v>
                      </c:pt>
                      <c:pt idx="122">
                        <c:v>-147.33980556829525</c:v>
                      </c:pt>
                      <c:pt idx="123">
                        <c:v>-147.38030169723953</c:v>
                      </c:pt>
                      <c:pt idx="124">
                        <c:v>-147.42120991413233</c:v>
                      </c:pt>
                      <c:pt idx="125">
                        <c:v>-147.46253275078743</c:v>
                      </c:pt>
                      <c:pt idx="126">
                        <c:v>-147.50427278401321</c:v>
                      </c:pt>
                      <c:pt idx="127">
                        <c:v>-147.546432636183</c:v>
                      </c:pt>
                      <c:pt idx="128">
                        <c:v>-147.58901497654713</c:v>
                      </c:pt>
                      <c:pt idx="129">
                        <c:v>-147.63202252187224</c:v>
                      </c:pt>
                      <c:pt idx="130">
                        <c:v>-147.67545803748712</c:v>
                      </c:pt>
                      <c:pt idx="131">
                        <c:v>-147.71932433849648</c:v>
                      </c:pt>
                      <c:pt idx="132">
                        <c:v>-147.76362429055837</c:v>
                      </c:pt>
                      <c:pt idx="133">
                        <c:v>-147.80836081103519</c:v>
                      </c:pt>
                      <c:pt idx="134">
                        <c:v>-147.85353687015851</c:v>
                      </c:pt>
                      <c:pt idx="135">
                        <c:v>-147.89915549223377</c:v>
                      </c:pt>
                      <c:pt idx="136">
                        <c:v>-147.94521975648615</c:v>
                      </c:pt>
                      <c:pt idx="137">
                        <c:v>-147.99173279864155</c:v>
                      </c:pt>
                      <c:pt idx="138">
                        <c:v>-148.03869781177468</c:v>
                      </c:pt>
                      <c:pt idx="139">
                        <c:v>-148.08611804797235</c:v>
                      </c:pt>
                      <c:pt idx="140">
                        <c:v>-148.13399681928703</c:v>
                      </c:pt>
                      <c:pt idx="141">
                        <c:v>-148.18233749930229</c:v>
                      </c:pt>
                      <c:pt idx="142">
                        <c:v>-148.23114352450338</c:v>
                      </c:pt>
                      <c:pt idx="143">
                        <c:v>-148.28041839550608</c:v>
                      </c:pt>
                      <c:pt idx="144">
                        <c:v>-148.33016567872298</c:v>
                      </c:pt>
                      <c:pt idx="145">
                        <c:v>-148.38038900785477</c:v>
                      </c:pt>
                      <c:pt idx="146">
                        <c:v>-148.43109208525001</c:v>
                      </c:pt>
                      <c:pt idx="147">
                        <c:v>-148.48227868389756</c:v>
                      </c:pt>
                      <c:pt idx="148">
                        <c:v>-148.53395264854183</c:v>
                      </c:pt>
                      <c:pt idx="149">
                        <c:v>-148.5861178978823</c:v>
                      </c:pt>
                      <c:pt idx="150">
                        <c:v>-148.63877842614824</c:v>
                      </c:pt>
                      <c:pt idx="151">
                        <c:v>-148.69193830474296</c:v>
                      </c:pt>
                      <c:pt idx="152">
                        <c:v>-148.74560168427845</c:v>
                      </c:pt>
                      <c:pt idx="153">
                        <c:v>-148.79977279665673</c:v>
                      </c:pt>
                      <c:pt idx="154">
                        <c:v>-148.85445595668935</c:v>
                      </c:pt>
                      <c:pt idx="155">
                        <c:v>-148.90965556438678</c:v>
                      </c:pt>
                      <c:pt idx="156">
                        <c:v>-148.96537610712869</c:v>
                      </c:pt>
                      <c:pt idx="157">
                        <c:v>-149.02162216155233</c:v>
                      </c:pt>
                      <c:pt idx="158">
                        <c:v>-149.07839839631797</c:v>
                      </c:pt>
                      <c:pt idx="159">
                        <c:v>-149.13570957377328</c:v>
                      </c:pt>
                      <c:pt idx="160">
                        <c:v>-149.19356055300511</c:v>
                      </c:pt>
                      <c:pt idx="161">
                        <c:v>-149.25195629175298</c:v>
                      </c:pt>
                      <c:pt idx="162">
                        <c:v>-149.31090184967701</c:v>
                      </c:pt>
                      <c:pt idx="163">
                        <c:v>-149.370402390187</c:v>
                      </c:pt>
                      <c:pt idx="164">
                        <c:v>-149.43046318378941</c:v>
                      </c:pt>
                      <c:pt idx="165">
                        <c:v>-149.49108961089291</c:v>
                      </c:pt>
                      <c:pt idx="166">
                        <c:v>-149.55228716429767</c:v>
                      </c:pt>
                      <c:pt idx="167">
                        <c:v>-149.61406145276553</c:v>
                      </c:pt>
                      <c:pt idx="168">
                        <c:v>-149.67641820384475</c:v>
                      </c:pt>
                      <c:pt idx="169">
                        <c:v>-149.73936326715915</c:v>
                      </c:pt>
                      <c:pt idx="170">
                        <c:v>-149.80290261807852</c:v>
                      </c:pt>
                      <c:pt idx="171">
                        <c:v>-149.86704236064151</c:v>
                      </c:pt>
                      <c:pt idx="172">
                        <c:v>-149.93178873181938</c:v>
                      </c:pt>
                      <c:pt idx="173">
                        <c:v>-149.99714810462046</c:v>
                      </c:pt>
                      <c:pt idx="174">
                        <c:v>-150.06312699252081</c:v>
                      </c:pt>
                      <c:pt idx="175">
                        <c:v>-150.12973205319494</c:v>
                      </c:pt>
                      <c:pt idx="176">
                        <c:v>-150.19697009276189</c:v>
                      </c:pt>
                      <c:pt idx="177">
                        <c:v>-150.26484806992582</c:v>
                      </c:pt>
                      <c:pt idx="178">
                        <c:v>-150.33337310090968</c:v>
                      </c:pt>
                      <c:pt idx="179">
                        <c:v>-150.40255246359681</c:v>
                      </c:pt>
                      <c:pt idx="180">
                        <c:v>-150.47239360281495</c:v>
                      </c:pt>
                      <c:pt idx="181">
                        <c:v>-150.54290413489039</c:v>
                      </c:pt>
                      <c:pt idx="182">
                        <c:v>-150.6140918531579</c:v>
                      </c:pt>
                      <c:pt idx="183">
                        <c:v>-150.68596473351906</c:v>
                      </c:pt>
                      <c:pt idx="184">
                        <c:v>-150.75853093964878</c:v>
                      </c:pt>
                      <c:pt idx="185">
                        <c:v>-150.83179882914874</c:v>
                      </c:pt>
                      <c:pt idx="186">
                        <c:v>-150.90577695939439</c:v>
                      </c:pt>
                      <c:pt idx="187">
                        <c:v>-150.98047409416202</c:v>
                      </c:pt>
                      <c:pt idx="188">
                        <c:v>-151.05589920981706</c:v>
                      </c:pt>
                      <c:pt idx="189">
                        <c:v>-151.13206150263392</c:v>
                      </c:pt>
                      <c:pt idx="190">
                        <c:v>-151.20897039539238</c:v>
                      </c:pt>
                      <c:pt idx="191">
                        <c:v>-151.28663554518926</c:v>
                      </c:pt>
                      <c:pt idx="192">
                        <c:v>-151.36506685079621</c:v>
                      </c:pt>
                      <c:pt idx="193">
                        <c:v>-151.44427446129771</c:v>
                      </c:pt>
                      <c:pt idx="194">
                        <c:v>-151.52426878374061</c:v>
                      </c:pt>
                      <c:pt idx="195">
                        <c:v>-151.60506049252359</c:v>
                      </c:pt>
                      <c:pt idx="196">
                        <c:v>-151.68666053793959</c:v>
                      </c:pt>
                      <c:pt idx="197">
                        <c:v>-151.76908015636073</c:v>
                      </c:pt>
                      <c:pt idx="198">
                        <c:v>-151.85233087969215</c:v>
                      </c:pt>
                      <c:pt idx="199">
                        <c:v>-151.9364245456961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84BA-4B27-90CF-23E3B49F7A94}"/>
                  </c:ext>
                </c:extLst>
              </c15:ser>
            </c15:filteredScatterSeries>
            <c15:filteredScatter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Calculate!$W$1</c15:sqref>
                        </c15:formulaRef>
                      </c:ext>
                    </c:extLst>
                    <c:strCache>
                      <c:ptCount val="1"/>
                      <c:pt idx="0">
                        <c:v>Noise_ds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Calculate!$W$2:$W$201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-138.80699831823648</c:v>
                      </c:pt>
                      <c:pt idx="1">
                        <c:v>-138.80710374380217</c:v>
                      </c:pt>
                      <c:pt idx="2">
                        <c:v>-138.80727943982365</c:v>
                      </c:pt>
                      <c:pt idx="3">
                        <c:v>-138.80752538641923</c:v>
                      </c:pt>
                      <c:pt idx="4">
                        <c:v>-138.80784155575441</c:v>
                      </c:pt>
                      <c:pt idx="5">
                        <c:v>-138.80822791204542</c:v>
                      </c:pt>
                      <c:pt idx="6">
                        <c:v>-138.80868441155664</c:v>
                      </c:pt>
                      <c:pt idx="7">
                        <c:v>-138.80921100260667</c:v>
                      </c:pt>
                      <c:pt idx="8">
                        <c:v>-138.80980762556388</c:v>
                      </c:pt>
                      <c:pt idx="9">
                        <c:v>-138.81047421285504</c:v>
                      </c:pt>
                      <c:pt idx="10">
                        <c:v>-138.81121068896331</c:v>
                      </c:pt>
                      <c:pt idx="11">
                        <c:v>-138.81201697043164</c:v>
                      </c:pt>
                      <c:pt idx="12">
                        <c:v>-138.81289296586567</c:v>
                      </c:pt>
                      <c:pt idx="13">
                        <c:v>-138.81383857593647</c:v>
                      </c:pt>
                      <c:pt idx="14">
                        <c:v>-138.81485369338381</c:v>
                      </c:pt>
                      <c:pt idx="15">
                        <c:v>-138.81593820302135</c:v>
                      </c:pt>
                      <c:pt idx="16">
                        <c:v>-138.81709198173974</c:v>
                      </c:pt>
                      <c:pt idx="17">
                        <c:v>-138.81831489851015</c:v>
                      </c:pt>
                      <c:pt idx="18">
                        <c:v>-138.81960681438539</c:v>
                      </c:pt>
                      <c:pt idx="19">
                        <c:v>-138.82096758251458</c:v>
                      </c:pt>
                      <c:pt idx="20">
                        <c:v>-138.82239704814029</c:v>
                      </c:pt>
                      <c:pt idx="21">
                        <c:v>-138.82389504860339</c:v>
                      </c:pt>
                      <c:pt idx="22">
                        <c:v>-138.82546141335456</c:v>
                      </c:pt>
                      <c:pt idx="23">
                        <c:v>-138.8270959639564</c:v>
                      </c:pt>
                      <c:pt idx="24">
                        <c:v>-138.82879851409581</c:v>
                      </c:pt>
                      <c:pt idx="25">
                        <c:v>-138.83056886957868</c:v>
                      </c:pt>
                      <c:pt idx="26">
                        <c:v>-138.83240682834938</c:v>
                      </c:pt>
                      <c:pt idx="27">
                        <c:v>-138.83431218049924</c:v>
                      </c:pt>
                      <c:pt idx="28">
                        <c:v>-138.83628470825482</c:v>
                      </c:pt>
                      <c:pt idx="29">
                        <c:v>-138.83832418602236</c:v>
                      </c:pt>
                      <c:pt idx="30">
                        <c:v>-138.8404303803589</c:v>
                      </c:pt>
                      <c:pt idx="31">
                        <c:v>-138.84260305000464</c:v>
                      </c:pt>
                      <c:pt idx="32">
                        <c:v>-138.84484194589442</c:v>
                      </c:pt>
                      <c:pt idx="33">
                        <c:v>-138.84714681114824</c:v>
                      </c:pt>
                      <c:pt idx="34">
                        <c:v>-138.84951738110539</c:v>
                      </c:pt>
                      <c:pt idx="35">
                        <c:v>-138.85195338332056</c:v>
                      </c:pt>
                      <c:pt idx="36">
                        <c:v>-138.85445453758098</c:v>
                      </c:pt>
                      <c:pt idx="37">
                        <c:v>-138.8570205559152</c:v>
                      </c:pt>
                      <c:pt idx="38">
                        <c:v>-138.85965114262297</c:v>
                      </c:pt>
                      <c:pt idx="39">
                        <c:v>-138.8623459942612</c:v>
                      </c:pt>
                      <c:pt idx="40">
                        <c:v>-138.86510479967509</c:v>
                      </c:pt>
                      <c:pt idx="41">
                        <c:v>-138.86792724002643</c:v>
                      </c:pt>
                      <c:pt idx="42">
                        <c:v>-138.87081298876569</c:v>
                      </c:pt>
                      <c:pt idx="43">
                        <c:v>-138.87376171170038</c:v>
                      </c:pt>
                      <c:pt idx="44">
                        <c:v>-138.87677306697142</c:v>
                      </c:pt>
                      <c:pt idx="45">
                        <c:v>-138.87984670509181</c:v>
                      </c:pt>
                      <c:pt idx="46">
                        <c:v>-138.88298226896103</c:v>
                      </c:pt>
                      <c:pt idx="47">
                        <c:v>-138.88617939388155</c:v>
                      </c:pt>
                      <c:pt idx="48">
                        <c:v>-138.8894377075778</c:v>
                      </c:pt>
                      <c:pt idx="49">
                        <c:v>-138.89275683021674</c:v>
                      </c:pt>
                      <c:pt idx="50">
                        <c:v>-138.89613637442611</c:v>
                      </c:pt>
                      <c:pt idx="51">
                        <c:v>-138.89957594532848</c:v>
                      </c:pt>
                      <c:pt idx="52">
                        <c:v>-138.90307514055053</c:v>
                      </c:pt>
                      <c:pt idx="53">
                        <c:v>-138.90663355024481</c:v>
                      </c:pt>
                      <c:pt idx="54">
                        <c:v>-138.9102507571437</c:v>
                      </c:pt>
                      <c:pt idx="55">
                        <c:v>-138.91392633654164</c:v>
                      </c:pt>
                      <c:pt idx="56">
                        <c:v>-138.91765985633444</c:v>
                      </c:pt>
                      <c:pt idx="57">
                        <c:v>-138.92145087707939</c:v>
                      </c:pt>
                      <c:pt idx="58">
                        <c:v>-138.92529895197586</c:v>
                      </c:pt>
                      <c:pt idx="59">
                        <c:v>-138.92920362693329</c:v>
                      </c:pt>
                      <c:pt idx="60">
                        <c:v>-138.933164440561</c:v>
                      </c:pt>
                      <c:pt idx="61">
                        <c:v>-138.93718092424803</c:v>
                      </c:pt>
                      <c:pt idx="62">
                        <c:v>-138.94125260215378</c:v>
                      </c:pt>
                      <c:pt idx="63">
                        <c:v>-138.94537899125052</c:v>
                      </c:pt>
                      <c:pt idx="64">
                        <c:v>-138.94955960138921</c:v>
                      </c:pt>
                      <c:pt idx="65">
                        <c:v>-138.95379393527901</c:v>
                      </c:pt>
                      <c:pt idx="66">
                        <c:v>-138.95808148857213</c:v>
                      </c:pt>
                      <c:pt idx="67">
                        <c:v>-138.96242174987691</c:v>
                      </c:pt>
                      <c:pt idx="68">
                        <c:v>-138.96681420081245</c:v>
                      </c:pt>
                      <c:pt idx="69">
                        <c:v>-138.97125831602102</c:v>
                      </c:pt>
                      <c:pt idx="70">
                        <c:v>-138.97575356324808</c:v>
                      </c:pt>
                      <c:pt idx="71">
                        <c:v>-138.98029940335027</c:v>
                      </c:pt>
                      <c:pt idx="72">
                        <c:v>-138.98489529034859</c:v>
                      </c:pt>
                      <c:pt idx="73">
                        <c:v>-138.98954067149506</c:v>
                      </c:pt>
                      <c:pt idx="74">
                        <c:v>-138.99423498729203</c:v>
                      </c:pt>
                      <c:pt idx="75">
                        <c:v>-138.99897767153479</c:v>
                      </c:pt>
                      <c:pt idx="76">
                        <c:v>-139.00376815140393</c:v>
                      </c:pt>
                      <c:pt idx="77">
                        <c:v>-139.00860584747227</c:v>
                      </c:pt>
                      <c:pt idx="78">
                        <c:v>-139.0134901737656</c:v>
                      </c:pt>
                      <c:pt idx="79">
                        <c:v>-139.0184205378234</c:v>
                      </c:pt>
                      <c:pt idx="80">
                        <c:v>-139.02339634077029</c:v>
                      </c:pt>
                      <c:pt idx="81">
                        <c:v>-139.02841697733092</c:v>
                      </c:pt>
                      <c:pt idx="82">
                        <c:v>-139.03348183591595</c:v>
                      </c:pt>
                      <c:pt idx="83">
                        <c:v>-139.03859029868985</c:v>
                      </c:pt>
                      <c:pt idx="84">
                        <c:v>-139.04374174159273</c:v>
                      </c:pt>
                      <c:pt idx="85">
                        <c:v>-139.04893553446334</c:v>
                      </c:pt>
                      <c:pt idx="86">
                        <c:v>-139.05417104102835</c:v>
                      </c:pt>
                      <c:pt idx="87">
                        <c:v>-139.05944761903757</c:v>
                      </c:pt>
                      <c:pt idx="88">
                        <c:v>-139.06476462027771</c:v>
                      </c:pt>
                      <c:pt idx="89">
                        <c:v>-139.07012139068425</c:v>
                      </c:pt>
                      <c:pt idx="90">
                        <c:v>-139.07551727037966</c:v>
                      </c:pt>
                      <c:pt idx="91">
                        <c:v>-139.08095159375532</c:v>
                      </c:pt>
                      <c:pt idx="92">
                        <c:v>-139.08642368955557</c:v>
                      </c:pt>
                      <c:pt idx="93">
                        <c:v>-139.09193288095929</c:v>
                      </c:pt>
                      <c:pt idx="94">
                        <c:v>-139.09747848560275</c:v>
                      </c:pt>
                      <c:pt idx="95">
                        <c:v>-139.10305981573617</c:v>
                      </c:pt>
                      <c:pt idx="96">
                        <c:v>-139.10867617825951</c:v>
                      </c:pt>
                      <c:pt idx="97">
                        <c:v>-139.11432687481425</c:v>
                      </c:pt>
                      <c:pt idx="98">
                        <c:v>-139.1200112018615</c:v>
                      </c:pt>
                      <c:pt idx="99">
                        <c:v>-139.12572845077727</c:v>
                      </c:pt>
                      <c:pt idx="100">
                        <c:v>-139.13147790794662</c:v>
                      </c:pt>
                      <c:pt idx="101">
                        <c:v>-139.13725885483001</c:v>
                      </c:pt>
                      <c:pt idx="102">
                        <c:v>-139.14307056808812</c:v>
                      </c:pt>
                      <c:pt idx="103">
                        <c:v>-139.14891231964594</c:v>
                      </c:pt>
                      <c:pt idx="104">
                        <c:v>-139.15478337680693</c:v>
                      </c:pt>
                      <c:pt idx="105">
                        <c:v>-139.16068300233562</c:v>
                      </c:pt>
                      <c:pt idx="106">
                        <c:v>-139.1666104545823</c:v>
                      </c:pt>
                      <c:pt idx="107">
                        <c:v>-139.17256498756421</c:v>
                      </c:pt>
                      <c:pt idx="108">
                        <c:v>-139.17854585106909</c:v>
                      </c:pt>
                      <c:pt idx="109">
                        <c:v>-139.18455229075153</c:v>
                      </c:pt>
                      <c:pt idx="110">
                        <c:v>-139.19058354828476</c:v>
                      </c:pt>
                      <c:pt idx="111">
                        <c:v>-139.19663886139958</c:v>
                      </c:pt>
                      <c:pt idx="112">
                        <c:v>-139.20271746409537</c:v>
                      </c:pt>
                      <c:pt idx="113">
                        <c:v>-139.20881858662898</c:v>
                      </c:pt>
                      <c:pt idx="114">
                        <c:v>-139.21494145572939</c:v>
                      </c:pt>
                      <c:pt idx="115">
                        <c:v>-139.2210852946634</c:v>
                      </c:pt>
                      <c:pt idx="116">
                        <c:v>-139.22724932339668</c:v>
                      </c:pt>
                      <c:pt idx="117">
                        <c:v>-139.2334327586513</c:v>
                      </c:pt>
                      <c:pt idx="118">
                        <c:v>-139.23963481410641</c:v>
                      </c:pt>
                      <c:pt idx="119">
                        <c:v>-139.24585470045099</c:v>
                      </c:pt>
                      <c:pt idx="120">
                        <c:v>-139.25209162555186</c:v>
                      </c:pt>
                      <c:pt idx="121">
                        <c:v>-139.258344794593</c:v>
                      </c:pt>
                      <c:pt idx="122">
                        <c:v>-139.26461341016289</c:v>
                      </c:pt>
                      <c:pt idx="123">
                        <c:v>-139.27089667241844</c:v>
                      </c:pt>
                      <c:pt idx="124">
                        <c:v>-139.27719377922332</c:v>
                      </c:pt>
                      <c:pt idx="125">
                        <c:v>-139.28350392625265</c:v>
                      </c:pt>
                      <c:pt idx="126">
                        <c:v>-139.28982630717601</c:v>
                      </c:pt>
                      <c:pt idx="127">
                        <c:v>-139.29616011374677</c:v>
                      </c:pt>
                      <c:pt idx="128">
                        <c:v>-139.30250453600161</c:v>
                      </c:pt>
                      <c:pt idx="129">
                        <c:v>-139.30885876235678</c:v>
                      </c:pt>
                      <c:pt idx="130">
                        <c:v>-139.31522197976346</c:v>
                      </c:pt>
                      <c:pt idx="131">
                        <c:v>-139.32159337388509</c:v>
                      </c:pt>
                      <c:pt idx="132">
                        <c:v>-139.32797212920812</c:v>
                      </c:pt>
                      <c:pt idx="133">
                        <c:v>-139.33435742920526</c:v>
                      </c:pt>
                      <c:pt idx="134">
                        <c:v>-139.34074845649769</c:v>
                      </c:pt>
                      <c:pt idx="135">
                        <c:v>-139.34714439301968</c:v>
                      </c:pt>
                      <c:pt idx="136">
                        <c:v>-139.35354442012971</c:v>
                      </c:pt>
                      <c:pt idx="137">
                        <c:v>-139.3599477188223</c:v>
                      </c:pt>
                      <c:pt idx="138">
                        <c:v>-139.36635346983391</c:v>
                      </c:pt>
                      <c:pt idx="139">
                        <c:v>-139.37276085385821</c:v>
                      </c:pt>
                      <c:pt idx="140">
                        <c:v>-139.37916905166034</c:v>
                      </c:pt>
                      <c:pt idx="141">
                        <c:v>-139.38557724427099</c:v>
                      </c:pt>
                      <c:pt idx="142">
                        <c:v>-139.39198461314942</c:v>
                      </c:pt>
                      <c:pt idx="143">
                        <c:v>-139.39839034032437</c:v>
                      </c:pt>
                      <c:pt idx="144">
                        <c:v>-139.40479360858836</c:v>
                      </c:pt>
                      <c:pt idx="145">
                        <c:v>-139.41119360166394</c:v>
                      </c:pt>
                      <c:pt idx="146">
                        <c:v>-139.417589504349</c:v>
                      </c:pt>
                      <c:pt idx="147">
                        <c:v>-139.42398050273755</c:v>
                      </c:pt>
                      <c:pt idx="148">
                        <c:v>-139.43036578432472</c:v>
                      </c:pt>
                      <c:pt idx="149">
                        <c:v>-139.43674453824278</c:v>
                      </c:pt>
                      <c:pt idx="150">
                        <c:v>-139.44311595541262</c:v>
                      </c:pt>
                      <c:pt idx="151">
                        <c:v>-139.4494792286996</c:v>
                      </c:pt>
                      <c:pt idx="152">
                        <c:v>-139.45583355311052</c:v>
                      </c:pt>
                      <c:pt idx="153">
                        <c:v>-139.46217812598928</c:v>
                      </c:pt>
                      <c:pt idx="154">
                        <c:v>-139.46851214715127</c:v>
                      </c:pt>
                      <c:pt idx="155">
                        <c:v>-139.47483481909086</c:v>
                      </c:pt>
                      <c:pt idx="156">
                        <c:v>-139.48114534716663</c:v>
                      </c:pt>
                      <c:pt idx="157">
                        <c:v>-139.48744293974801</c:v>
                      </c:pt>
                      <c:pt idx="158">
                        <c:v>-139.49372680845306</c:v>
                      </c:pt>
                      <c:pt idx="159">
                        <c:v>-139.49999616825539</c:v>
                      </c:pt>
                      <c:pt idx="160">
                        <c:v>-139.50625023773728</c:v>
                      </c:pt>
                      <c:pt idx="161">
                        <c:v>-139.51248823920875</c:v>
                      </c:pt>
                      <c:pt idx="162">
                        <c:v>-139.51870939896475</c:v>
                      </c:pt>
                      <c:pt idx="163">
                        <c:v>-139.52491294737908</c:v>
                      </c:pt>
                      <c:pt idx="164">
                        <c:v>-139.53109811915098</c:v>
                      </c:pt>
                      <c:pt idx="165">
                        <c:v>-139.53726415348288</c:v>
                      </c:pt>
                      <c:pt idx="166">
                        <c:v>-139.54341029421695</c:v>
                      </c:pt>
                      <c:pt idx="167">
                        <c:v>-139.54953579007184</c:v>
                      </c:pt>
                      <c:pt idx="168">
                        <c:v>-139.55563989479188</c:v>
                      </c:pt>
                      <c:pt idx="169">
                        <c:v>-139.56172186733281</c:v>
                      </c:pt>
                      <c:pt idx="170">
                        <c:v>-139.56778097207186</c:v>
                      </c:pt>
                      <c:pt idx="171">
                        <c:v>-139.5738164789343</c:v>
                      </c:pt>
                      <c:pt idx="172">
                        <c:v>-139.57982766363554</c:v>
                      </c:pt>
                      <c:pt idx="173">
                        <c:v>-139.58581380780066</c:v>
                      </c:pt>
                      <c:pt idx="174">
                        <c:v>-139.59177419919479</c:v>
                      </c:pt>
                      <c:pt idx="175">
                        <c:v>-139.59770813187387</c:v>
                      </c:pt>
                      <c:pt idx="176">
                        <c:v>-139.60361490636913</c:v>
                      </c:pt>
                      <c:pt idx="177">
                        <c:v>-139.60949382984725</c:v>
                      </c:pt>
                      <c:pt idx="178">
                        <c:v>-139.61534421632459</c:v>
                      </c:pt>
                      <c:pt idx="179">
                        <c:v>-139.6211653867966</c:v>
                      </c:pt>
                      <c:pt idx="180">
                        <c:v>-139.62695666944933</c:v>
                      </c:pt>
                      <c:pt idx="181">
                        <c:v>-139.63271739979189</c:v>
                      </c:pt>
                      <c:pt idx="182">
                        <c:v>-139.63844692085223</c:v>
                      </c:pt>
                      <c:pt idx="183">
                        <c:v>-139.64414458335668</c:v>
                      </c:pt>
                      <c:pt idx="184">
                        <c:v>-139.64980974586325</c:v>
                      </c:pt>
                      <c:pt idx="185">
                        <c:v>-139.65544177495184</c:v>
                      </c:pt>
                      <c:pt idx="186">
                        <c:v>-139.66104004536956</c:v>
                      </c:pt>
                      <c:pt idx="187">
                        <c:v>-139.66660394021596</c:v>
                      </c:pt>
                      <c:pt idx="188">
                        <c:v>-139.67213285107306</c:v>
                      </c:pt>
                      <c:pt idx="189">
                        <c:v>-139.67762617819847</c:v>
                      </c:pt>
                      <c:pt idx="190">
                        <c:v>-139.68308333064184</c:v>
                      </c:pt>
                      <c:pt idx="191">
                        <c:v>-139.68850372642686</c:v>
                      </c:pt>
                      <c:pt idx="192">
                        <c:v>-139.69388679267584</c:v>
                      </c:pt>
                      <c:pt idx="193">
                        <c:v>-139.6992319657987</c:v>
                      </c:pt>
                      <c:pt idx="194">
                        <c:v>-139.70453869158766</c:v>
                      </c:pt>
                      <c:pt idx="195">
                        <c:v>-139.70980642540388</c:v>
                      </c:pt>
                      <c:pt idx="196">
                        <c:v>-139.7150346322793</c:v>
                      </c:pt>
                      <c:pt idx="197">
                        <c:v>-139.72022278709696</c:v>
                      </c:pt>
                      <c:pt idx="198">
                        <c:v>-139.72537037469434</c:v>
                      </c:pt>
                      <c:pt idx="199">
                        <c:v>-139.73047688999219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84BA-4B27-90CF-23E3B49F7A94}"/>
                  </c:ext>
                </c:extLst>
              </c15:ser>
            </c15:filteredScatterSeries>
            <c15:filteredScatter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Calculate!$X$1</c15:sqref>
                        </c15:formulaRef>
                      </c:ext>
                    </c:extLst>
                    <c:strCache>
                      <c:ptCount val="1"/>
                      <c:pt idx="0">
                        <c:v>SNRdB_us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Calculate!$X$2:$X$201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4BA-4B27-90CF-23E3B49F7A94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Calculate!$Y$1</c15:sqref>
                        </c15:formulaRef>
                      </c:ext>
                    </c:extLst>
                    <c:strCache>
                      <c:ptCount val="1"/>
                      <c:pt idx="0">
                        <c:v>SNRdB_ds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Calculate!$Y$2:$Y$201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39.801739756551243</c:v>
                      </c:pt>
                      <c:pt idx="1">
                        <c:v>39.085640550660145</c:v>
                      </c:pt>
                      <c:pt idx="2">
                        <c:v>38.522165871538036</c:v>
                      </c:pt>
                      <c:pt idx="3">
                        <c:v>38.037588150327778</c:v>
                      </c:pt>
                      <c:pt idx="4">
                        <c:v>37.60334958385306</c:v>
                      </c:pt>
                      <c:pt idx="5">
                        <c:v>37.204803938484815</c:v>
                      </c:pt>
                      <c:pt idx="6">
                        <c:v>36.833250623676648</c:v>
                      </c:pt>
                      <c:pt idx="7">
                        <c:v>36.483020665617033</c:v>
                      </c:pt>
                      <c:pt idx="8">
                        <c:v>36.15017632251498</c:v>
                      </c:pt>
                      <c:pt idx="9">
                        <c:v>35.831850488315311</c:v>
                      </c:pt>
                      <c:pt idx="10">
                        <c:v>35.525878668411139</c:v>
                      </c:pt>
                      <c:pt idx="11">
                        <c:v>35.230579203925188</c:v>
                      </c:pt>
                      <c:pt idx="12">
                        <c:v>34.944614697316879</c:v>
                      </c:pt>
                      <c:pt idx="13">
                        <c:v>34.666900728732116</c:v>
                      </c:pt>
                      <c:pt idx="14">
                        <c:v>34.39654351716969</c:v>
                      </c:pt>
                      <c:pt idx="15">
                        <c:v>34.132796041672535</c:v>
                      </c:pt>
                      <c:pt idx="16">
                        <c:v>33.875026350864474</c:v>
                      </c:pt>
                      <c:pt idx="17">
                        <c:v>33.622694161823219</c:v>
                      </c:pt>
                      <c:pt idx="18">
                        <c:v>33.375333242831402</c:v>
                      </c:pt>
                      <c:pt idx="19">
                        <c:v>33.132537923192757</c:v>
                      </c:pt>
                      <c:pt idx="20">
                        <c:v>32.893952606549405</c:v>
                      </c:pt>
                      <c:pt idx="21">
                        <c:v>32.659263508717828</c:v>
                      </c:pt>
                      <c:pt idx="22">
                        <c:v>32.428192069121593</c:v>
                      </c:pt>
                      <c:pt idx="23">
                        <c:v>32.200489639220194</c:v>
                      </c:pt>
                      <c:pt idx="24">
                        <c:v>31.975933157866976</c:v>
                      </c:pt>
                      <c:pt idx="25">
                        <c:v>31.754321598285799</c:v>
                      </c:pt>
                      <c:pt idx="26">
                        <c:v>31.53547302481725</c:v>
                      </c:pt>
                      <c:pt idx="27">
                        <c:v>31.319222136179988</c:v>
                      </c:pt>
                      <c:pt idx="28">
                        <c:v>31.105418200407428</c:v>
                      </c:pt>
                      <c:pt idx="29">
                        <c:v>30.893923307806418</c:v>
                      </c:pt>
                      <c:pt idx="30">
                        <c:v>30.684610883938916</c:v>
                      </c:pt>
                      <c:pt idx="31">
                        <c:v>30.477364416941683</c:v>
                      </c:pt>
                      <c:pt idx="32">
                        <c:v>30.27207636252686</c:v>
                      </c:pt>
                      <c:pt idx="33">
                        <c:v>30.068647197245056</c:v>
                      </c:pt>
                      <c:pt idx="34">
                        <c:v>29.866984596244649</c:v>
                      </c:pt>
                      <c:pt idx="35">
                        <c:v>29.667002716013727</c:v>
                      </c:pt>
                      <c:pt idx="36">
                        <c:v>29.468621566218161</c:v>
                      </c:pt>
                      <c:pt idx="37">
                        <c:v>29.271766457445437</c:v>
                      </c:pt>
                      <c:pt idx="38">
                        <c:v>29.07636751396123</c:v>
                      </c:pt>
                      <c:pt idx="39">
                        <c:v>28.882359242300808</c:v>
                      </c:pt>
                      <c:pt idx="40">
                        <c:v>28.689680148144063</c:v>
                      </c:pt>
                      <c:pt idx="41">
                        <c:v>28.49827239499092</c:v>
                      </c:pt>
                      <c:pt idx="42">
                        <c:v>28.308081499138481</c:v>
                      </c:pt>
                      <c:pt idx="43">
                        <c:v>28.1190560564865</c:v>
                      </c:pt>
                      <c:pt idx="44">
                        <c:v>27.93114749703642</c:v>
                      </c:pt>
                      <c:pt idx="45">
                        <c:v>27.744309863859243</c:v>
                      </c:pt>
                      <c:pt idx="46">
                        <c:v>27.558499613541755</c:v>
                      </c:pt>
                      <c:pt idx="47">
                        <c:v>27.373675435632848</c:v>
                      </c:pt>
                      <c:pt idx="48">
                        <c:v>27.189798088923752</c:v>
                      </c:pt>
                      <c:pt idx="49">
                        <c:v>27.006830252680388</c:v>
                      </c:pt>
                      <c:pt idx="50">
                        <c:v>26.824736391186548</c:v>
                      </c:pt>
                      <c:pt idx="51">
                        <c:v>26.643482630186469</c:v>
                      </c:pt>
                      <c:pt idx="52">
                        <c:v>26.463036643934444</c:v>
                      </c:pt>
                      <c:pt idx="53">
                        <c:v>26.283367551789752</c:v>
                      </c:pt>
                      <c:pt idx="54">
                        <c:v>26.104445823409577</c:v>
                      </c:pt>
                      <c:pt idx="55">
                        <c:v>25.926243191582387</c:v>
                      </c:pt>
                      <c:pt idx="56">
                        <c:v>25.748732572076122</c:v>
                      </c:pt>
                      <c:pt idx="57">
                        <c:v>25.571887989795542</c:v>
                      </c:pt>
                      <c:pt idx="58">
                        <c:v>25.395684510554361</c:v>
                      </c:pt>
                      <c:pt idx="59">
                        <c:v>25.220098178099576</c:v>
                      </c:pt>
                      <c:pt idx="60">
                        <c:v>25.045105955750756</c:v>
                      </c:pt>
                      <c:pt idx="61">
                        <c:v>24.870685672400057</c:v>
                      </c:pt>
                      <c:pt idx="62">
                        <c:v>24.696815972316273</c:v>
                      </c:pt>
                      <c:pt idx="63">
                        <c:v>24.523476268554646</c:v>
                      </c:pt>
                      <c:pt idx="64">
                        <c:v>24.3506466996391</c:v>
                      </c:pt>
                      <c:pt idx="65">
                        <c:v>24.178308089133026</c:v>
                      </c:pt>
                      <c:pt idx="66">
                        <c:v>24.006441908042646</c:v>
                      </c:pt>
                      <c:pt idx="67">
                        <c:v>23.835030239652198</c:v>
                      </c:pt>
                      <c:pt idx="68">
                        <c:v>23.664055746702175</c:v>
                      </c:pt>
                      <c:pt idx="69">
                        <c:v>23.493501640643302</c:v>
                      </c:pt>
                      <c:pt idx="70">
                        <c:v>23.323351652909736</c:v>
                      </c:pt>
                      <c:pt idx="71">
                        <c:v>23.153590007920926</c:v>
                      </c:pt>
                      <c:pt idx="72">
                        <c:v>22.984201397791225</c:v>
                      </c:pt>
                      <c:pt idx="73">
                        <c:v>22.815170958590699</c:v>
                      </c:pt>
                      <c:pt idx="74">
                        <c:v>22.646484247981476</c:v>
                      </c:pt>
                      <c:pt idx="75">
                        <c:v>22.478127224195674</c:v>
                      </c:pt>
                      <c:pt idx="76">
                        <c:v>22.310086226286131</c:v>
                      </c:pt>
                      <c:pt idx="77">
                        <c:v>22.14234795542653</c:v>
                      </c:pt>
                      <c:pt idx="78">
                        <c:v>21.974899457320248</c:v>
                      </c:pt>
                      <c:pt idx="79">
                        <c:v>21.807728105590016</c:v>
                      </c:pt>
                      <c:pt idx="80">
                        <c:v>21.640821586091576</c:v>
                      </c:pt>
                      <c:pt idx="81">
                        <c:v>21.474167882021192</c:v>
                      </c:pt>
                      <c:pt idx="82">
                        <c:v>21.307755259887756</c:v>
                      </c:pt>
                      <c:pt idx="83">
                        <c:v>21.141572256206516</c:v>
                      </c:pt>
                      <c:pt idx="84">
                        <c:v>20.975607664838236</c:v>
                      </c:pt>
                      <c:pt idx="85">
                        <c:v>20.809850525075461</c:v>
                      </c:pt>
                      <c:pt idx="86">
                        <c:v>20.644290110198966</c:v>
                      </c:pt>
                      <c:pt idx="87">
                        <c:v>20.478915916745521</c:v>
                      </c:pt>
                      <c:pt idx="88">
                        <c:v>20.31371765418379</c:v>
                      </c:pt>
                      <c:pt idx="89">
                        <c:v>20.148685235184089</c:v>
                      </c:pt>
                      <c:pt idx="90">
                        <c:v>19.983808766279864</c:v>
                      </c:pt>
                      <c:pt idx="91">
                        <c:v>19.819078539009013</c:v>
                      </c:pt>
                      <c:pt idx="92">
                        <c:v>19.65448502146721</c:v>
                      </c:pt>
                      <c:pt idx="93">
                        <c:v>19.490018850243089</c:v>
                      </c:pt>
                      <c:pt idx="94">
                        <c:v>19.325670822656491</c:v>
                      </c:pt>
                      <c:pt idx="95">
                        <c:v>19.161431889469966</c:v>
                      </c:pt>
                      <c:pt idx="96">
                        <c:v>18.997293147799184</c:v>
                      </c:pt>
                      <c:pt idx="97">
                        <c:v>18.83324583437998</c:v>
                      </c:pt>
                      <c:pt idx="98">
                        <c:v>18.669281319104769</c:v>
                      </c:pt>
                      <c:pt idx="99">
                        <c:v>18.505391098842523</c:v>
                      </c:pt>
                      <c:pt idx="100">
                        <c:v>18.341566791508569</c:v>
                      </c:pt>
                      <c:pt idx="101">
                        <c:v>18.177800130343073</c:v>
                      </c:pt>
                      <c:pt idx="102">
                        <c:v>18.014082958470766</c:v>
                      </c:pt>
                      <c:pt idx="103">
                        <c:v>17.850407223609892</c:v>
                      </c:pt>
                      <c:pt idx="104">
                        <c:v>17.686764973029113</c:v>
                      </c:pt>
                      <c:pt idx="105">
                        <c:v>17.523148348659646</c:v>
                      </c:pt>
                      <c:pt idx="106">
                        <c:v>17.359549582425245</c:v>
                      </c:pt>
                      <c:pt idx="107">
                        <c:v>17.195960991694562</c:v>
                      </c:pt>
                      <c:pt idx="108">
                        <c:v>17.032374974912429</c:v>
                      </c:pt>
                      <c:pt idx="109">
                        <c:v>16.868784007371232</c:v>
                      </c:pt>
                      <c:pt idx="110">
                        <c:v>16.705180637176781</c:v>
                      </c:pt>
                      <c:pt idx="111">
                        <c:v>16.541557481232104</c:v>
                      </c:pt>
                      <c:pt idx="112">
                        <c:v>16.377907221516935</c:v>
                      </c:pt>
                      <c:pt idx="113">
                        <c:v>16.214222601261056</c:v>
                      </c:pt>
                      <c:pt idx="114">
                        <c:v>16.050496421452948</c:v>
                      </c:pt>
                      <c:pt idx="115">
                        <c:v>15.886721537302066</c:v>
                      </c:pt>
                      <c:pt idx="116">
                        <c:v>15.722890854893521</c:v>
                      </c:pt>
                      <c:pt idx="117">
                        <c:v>15.558997327829758</c:v>
                      </c:pt>
                      <c:pt idx="118">
                        <c:v>15.395033954100825</c:v>
                      </c:pt>
                      <c:pt idx="119">
                        <c:v>15.230993772886507</c:v>
                      </c:pt>
                      <c:pt idx="120">
                        <c:v>15.066869861548625</c:v>
                      </c:pt>
                      <c:pt idx="121">
                        <c:v>14.902655332664366</c:v>
                      </c:pt>
                      <c:pt idx="122">
                        <c:v>14.738343331073111</c:v>
                      </c:pt>
                      <c:pt idx="123">
                        <c:v>14.573927031060435</c:v>
                      </c:pt>
                      <c:pt idx="124">
                        <c:v>14.409399633573003</c:v>
                      </c:pt>
                      <c:pt idx="125">
                        <c:v>14.244754363452145</c:v>
                      </c:pt>
                      <c:pt idx="126">
                        <c:v>14.079984466794059</c:v>
                      </c:pt>
                      <c:pt idx="127">
                        <c:v>13.915083208260739</c:v>
                      </c:pt>
                      <c:pt idx="128">
                        <c:v>13.75004386854188</c:v>
                      </c:pt>
                      <c:pt idx="129">
                        <c:v>13.584859741750591</c:v>
                      </c:pt>
                      <c:pt idx="130">
                        <c:v>13.419524132911832</c:v>
                      </c:pt>
                      <c:pt idx="131">
                        <c:v>13.254030355503033</c:v>
                      </c:pt>
                      <c:pt idx="132">
                        <c:v>13.088371728955153</c:v>
                      </c:pt>
                      <c:pt idx="133">
                        <c:v>12.922541576229619</c:v>
                      </c:pt>
                      <c:pt idx="134">
                        <c:v>12.756533221415154</c:v>
                      </c:pt>
                      <c:pt idx="135">
                        <c:v>12.590339987344024</c:v>
                      </c:pt>
                      <c:pt idx="136">
                        <c:v>12.423955193169576</c:v>
                      </c:pt>
                      <c:pt idx="137">
                        <c:v>12.257372152055538</c:v>
                      </c:pt>
                      <c:pt idx="138">
                        <c:v>12.090584168768132</c:v>
                      </c:pt>
                      <c:pt idx="139">
                        <c:v>11.923584537383022</c:v>
                      </c:pt>
                      <c:pt idx="140">
                        <c:v>11.756366538893928</c:v>
                      </c:pt>
                      <c:pt idx="141">
                        <c:v>11.588923438900991</c:v>
                      </c:pt>
                      <c:pt idx="142">
                        <c:v>11.421248485265139</c:v>
                      </c:pt>
                      <c:pt idx="143">
                        <c:v>11.253334905734334</c:v>
                      </c:pt>
                      <c:pt idx="144">
                        <c:v>11.085175905614932</c:v>
                      </c:pt>
                      <c:pt idx="145">
                        <c:v>10.916764665403235</c:v>
                      </c:pt>
                      <c:pt idx="146">
                        <c:v>10.748094338382288</c:v>
                      </c:pt>
                      <c:pt idx="147">
                        <c:v>10.579158048276554</c:v>
                      </c:pt>
                      <c:pt idx="148">
                        <c:v>10.409948886771332</c:v>
                      </c:pt>
                      <c:pt idx="149">
                        <c:v>10.240459911140107</c:v>
                      </c:pt>
                      <c:pt idx="150">
                        <c:v>10.070684141761944</c:v>
                      </c:pt>
                      <c:pt idx="151">
                        <c:v>9.900614559614155</c:v>
                      </c:pt>
                      <c:pt idx="152">
                        <c:v>9.7302441037749077</c:v>
                      </c:pt>
                      <c:pt idx="153">
                        <c:v>9.5595656688894906</c:v>
                      </c:pt>
                      <c:pt idx="154">
                        <c:v>9.3885721025377791</c:v>
                      </c:pt>
                      <c:pt idx="155">
                        <c:v>9.2172562026334788</c:v>
                      </c:pt>
                      <c:pt idx="156">
                        <c:v>9.0456107147574869</c:v>
                      </c:pt>
                      <c:pt idx="157">
                        <c:v>8.8736283294045961</c:v>
                      </c:pt>
                      <c:pt idx="158">
                        <c:v>8.7013016792708413</c:v>
                      </c:pt>
                      <c:pt idx="159">
                        <c:v>8.5286233363555937</c:v>
                      </c:pt>
                      <c:pt idx="160">
                        <c:v>8.3555858091515915</c:v>
                      </c:pt>
                      <c:pt idx="161">
                        <c:v>8.1821815396396858</c:v>
                      </c:pt>
                      <c:pt idx="162">
                        <c:v>8.0084029003560318</c:v>
                      </c:pt>
                      <c:pt idx="163">
                        <c:v>7.8342421912266502</c:v>
                      </c:pt>
                      <c:pt idx="164">
                        <c:v>7.6596916364811989</c:v>
                      </c:pt>
                      <c:pt idx="165">
                        <c:v>7.4847433814203725</c:v>
                      </c:pt>
                      <c:pt idx="166">
                        <c:v>7.3093894890598961</c:v>
                      </c:pt>
                      <c:pt idx="167">
                        <c:v>7.1336219367882165</c:v>
                      </c:pt>
                      <c:pt idx="168">
                        <c:v>6.9574326128454231</c:v>
                      </c:pt>
                      <c:pt idx="169">
                        <c:v>6.780813312742481</c:v>
                      </c:pt>
                      <c:pt idx="170">
                        <c:v>6.6037557356036132</c:v>
                      </c:pt>
                      <c:pt idx="171">
                        <c:v>6.4262514803185127</c:v>
                      </c:pt>
                      <c:pt idx="172">
                        <c:v>6.2482920416980789</c:v>
                      </c:pt>
                      <c:pt idx="173">
                        <c:v>6.0698688063895361</c:v>
                      </c:pt>
                      <c:pt idx="174">
                        <c:v>5.890973048778875</c:v>
                      </c:pt>
                      <c:pt idx="175">
                        <c:v>5.7115959266828611</c:v>
                      </c:pt>
                      <c:pt idx="176">
                        <c:v>5.5317284769384969</c:v>
                      </c:pt>
                      <c:pt idx="177">
                        <c:v>5.3513616108240001</c:v>
                      </c:pt>
                      <c:pt idx="178">
                        <c:v>5.1704861093831198</c:v>
                      </c:pt>
                      <c:pt idx="179">
                        <c:v>4.9890926185059925</c:v>
                      </c:pt>
                      <c:pt idx="180">
                        <c:v>4.8071716439253578</c:v>
                      </c:pt>
                      <c:pt idx="181">
                        <c:v>4.6247135459592243</c:v>
                      </c:pt>
                      <c:pt idx="182">
                        <c:v>4.4417085341326015</c:v>
                      </c:pt>
                      <c:pt idx="183">
                        <c:v>4.2581466615903878</c:v>
                      </c:pt>
                      <c:pt idx="184">
                        <c:v>4.074017819261428</c:v>
                      </c:pt>
                      <c:pt idx="185">
                        <c:v>3.8893117298661934</c:v>
                      </c:pt>
                      <c:pt idx="186">
                        <c:v>3.7040179416561614</c:v>
                      </c:pt>
                      <c:pt idx="187">
                        <c:v>3.5181258219579661</c:v>
                      </c:pt>
                      <c:pt idx="188">
                        <c:v>3.3316245504152562</c:v>
                      </c:pt>
                      <c:pt idx="189">
                        <c:v>3.1445031120342151</c:v>
                      </c:pt>
                      <c:pt idx="190">
                        <c:v>2.9567502898788405</c:v>
                      </c:pt>
                      <c:pt idx="191">
                        <c:v>2.768354657545359</c:v>
                      </c:pt>
                      <c:pt idx="192">
                        <c:v>2.5793045712765661</c:v>
                      </c:pt>
                      <c:pt idx="193">
                        <c:v>2.3895881618231272</c:v>
                      </c:pt>
                      <c:pt idx="194">
                        <c:v>2.199193325876081</c:v>
                      </c:pt>
                      <c:pt idx="195">
                        <c:v>2.0081077172390565</c:v>
                      </c:pt>
                      <c:pt idx="196">
                        <c:v>1.8163187375450036</c:v>
                      </c:pt>
                      <c:pt idx="197">
                        <c:v>1.6238135266605127</c:v>
                      </c:pt>
                      <c:pt idx="198">
                        <c:v>1.4305789526017918</c:v>
                      </c:pt>
                      <c:pt idx="199">
                        <c:v>1.2366016010419116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84BA-4B27-90CF-23E3B49F7A94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Calculate!$Z$1</c15:sqref>
                        </c15:formulaRef>
                      </c:ext>
                    </c:extLst>
                    <c:strCache>
                      <c:ptCount val="1"/>
                      <c:pt idx="0">
                        <c:v>SNR_us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Calculate!$Z$2:$Z$201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84BA-4B27-90CF-23E3B49F7A94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Calculate!$AA$1</c15:sqref>
                        </c15:formulaRef>
                      </c:ext>
                    </c:extLst>
                    <c:strCache>
                      <c:ptCount val="1"/>
                      <c:pt idx="0">
                        <c:v>SNR_ds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Calculate!$A$2:$A$201</c15:sqref>
                        </c15:formulaRef>
                      </c:ext>
                    </c:extLst>
                    <c:numCache>
                      <c:formatCode>#,##0</c:formatCode>
                      <c:ptCount val="200"/>
                      <c:pt idx="0">
                        <c:v>45000000</c:v>
                      </c:pt>
                      <c:pt idx="1">
                        <c:v>90000000</c:v>
                      </c:pt>
                      <c:pt idx="2">
                        <c:v>135000000</c:v>
                      </c:pt>
                      <c:pt idx="3">
                        <c:v>180000000</c:v>
                      </c:pt>
                      <c:pt idx="4">
                        <c:v>225000000</c:v>
                      </c:pt>
                      <c:pt idx="5">
                        <c:v>270000000</c:v>
                      </c:pt>
                      <c:pt idx="6">
                        <c:v>315000000</c:v>
                      </c:pt>
                      <c:pt idx="7">
                        <c:v>360000000</c:v>
                      </c:pt>
                      <c:pt idx="8">
                        <c:v>405000000</c:v>
                      </c:pt>
                      <c:pt idx="9">
                        <c:v>450000000</c:v>
                      </c:pt>
                      <c:pt idx="10">
                        <c:v>495000000</c:v>
                      </c:pt>
                      <c:pt idx="11">
                        <c:v>540000000</c:v>
                      </c:pt>
                      <c:pt idx="12">
                        <c:v>585000000</c:v>
                      </c:pt>
                      <c:pt idx="13">
                        <c:v>630000000</c:v>
                      </c:pt>
                      <c:pt idx="14">
                        <c:v>675000000</c:v>
                      </c:pt>
                      <c:pt idx="15">
                        <c:v>720000000</c:v>
                      </c:pt>
                      <c:pt idx="16">
                        <c:v>765000000</c:v>
                      </c:pt>
                      <c:pt idx="17">
                        <c:v>810000000</c:v>
                      </c:pt>
                      <c:pt idx="18">
                        <c:v>855000000</c:v>
                      </c:pt>
                      <c:pt idx="19">
                        <c:v>900000000</c:v>
                      </c:pt>
                      <c:pt idx="20">
                        <c:v>945000000</c:v>
                      </c:pt>
                      <c:pt idx="21">
                        <c:v>990000000</c:v>
                      </c:pt>
                      <c:pt idx="22">
                        <c:v>1035000000</c:v>
                      </c:pt>
                      <c:pt idx="23">
                        <c:v>1080000000</c:v>
                      </c:pt>
                      <c:pt idx="24">
                        <c:v>1125000000</c:v>
                      </c:pt>
                      <c:pt idx="25">
                        <c:v>1170000000</c:v>
                      </c:pt>
                      <c:pt idx="26">
                        <c:v>1215000000</c:v>
                      </c:pt>
                      <c:pt idx="27">
                        <c:v>1260000000</c:v>
                      </c:pt>
                      <c:pt idx="28">
                        <c:v>1305000000</c:v>
                      </c:pt>
                      <c:pt idx="29">
                        <c:v>1350000000</c:v>
                      </c:pt>
                      <c:pt idx="30">
                        <c:v>1395000000</c:v>
                      </c:pt>
                      <c:pt idx="31">
                        <c:v>1440000000</c:v>
                      </c:pt>
                      <c:pt idx="32">
                        <c:v>1485000000</c:v>
                      </c:pt>
                      <c:pt idx="33">
                        <c:v>1530000000</c:v>
                      </c:pt>
                      <c:pt idx="34">
                        <c:v>1575000000</c:v>
                      </c:pt>
                      <c:pt idx="35">
                        <c:v>1620000000</c:v>
                      </c:pt>
                      <c:pt idx="36">
                        <c:v>1665000000</c:v>
                      </c:pt>
                      <c:pt idx="37">
                        <c:v>1710000000</c:v>
                      </c:pt>
                      <c:pt idx="38">
                        <c:v>1755000000</c:v>
                      </c:pt>
                      <c:pt idx="39">
                        <c:v>1800000000</c:v>
                      </c:pt>
                      <c:pt idx="40">
                        <c:v>1845000000</c:v>
                      </c:pt>
                      <c:pt idx="41">
                        <c:v>1890000000</c:v>
                      </c:pt>
                      <c:pt idx="42">
                        <c:v>1935000000</c:v>
                      </c:pt>
                      <c:pt idx="43">
                        <c:v>1980000000</c:v>
                      </c:pt>
                      <c:pt idx="44">
                        <c:v>2025000000</c:v>
                      </c:pt>
                      <c:pt idx="45">
                        <c:v>2070000000</c:v>
                      </c:pt>
                      <c:pt idx="46">
                        <c:v>2115000000</c:v>
                      </c:pt>
                      <c:pt idx="47">
                        <c:v>2160000000</c:v>
                      </c:pt>
                      <c:pt idx="48">
                        <c:v>2205000000</c:v>
                      </c:pt>
                      <c:pt idx="49">
                        <c:v>2250000000</c:v>
                      </c:pt>
                      <c:pt idx="50">
                        <c:v>2295000000</c:v>
                      </c:pt>
                      <c:pt idx="51">
                        <c:v>2340000000</c:v>
                      </c:pt>
                      <c:pt idx="52">
                        <c:v>2385000000</c:v>
                      </c:pt>
                      <c:pt idx="53">
                        <c:v>2430000000</c:v>
                      </c:pt>
                      <c:pt idx="54">
                        <c:v>2475000000</c:v>
                      </c:pt>
                      <c:pt idx="55">
                        <c:v>2520000000</c:v>
                      </c:pt>
                      <c:pt idx="56">
                        <c:v>2565000000</c:v>
                      </c:pt>
                      <c:pt idx="57">
                        <c:v>2610000000</c:v>
                      </c:pt>
                      <c:pt idx="58">
                        <c:v>2655000000</c:v>
                      </c:pt>
                      <c:pt idx="59">
                        <c:v>2700000000</c:v>
                      </c:pt>
                      <c:pt idx="60">
                        <c:v>2745000000</c:v>
                      </c:pt>
                      <c:pt idx="61">
                        <c:v>2790000000</c:v>
                      </c:pt>
                      <c:pt idx="62">
                        <c:v>2835000000</c:v>
                      </c:pt>
                      <c:pt idx="63">
                        <c:v>2880000000</c:v>
                      </c:pt>
                      <c:pt idx="64">
                        <c:v>2925000000</c:v>
                      </c:pt>
                      <c:pt idx="65">
                        <c:v>2970000000</c:v>
                      </c:pt>
                      <c:pt idx="66">
                        <c:v>3015000000</c:v>
                      </c:pt>
                      <c:pt idx="67">
                        <c:v>3060000000</c:v>
                      </c:pt>
                      <c:pt idx="68">
                        <c:v>3105000000</c:v>
                      </c:pt>
                      <c:pt idx="69">
                        <c:v>3150000000</c:v>
                      </c:pt>
                      <c:pt idx="70">
                        <c:v>3195000000</c:v>
                      </c:pt>
                      <c:pt idx="71">
                        <c:v>3240000000</c:v>
                      </c:pt>
                      <c:pt idx="72">
                        <c:v>3285000000</c:v>
                      </c:pt>
                      <c:pt idx="73">
                        <c:v>3330000000</c:v>
                      </c:pt>
                      <c:pt idx="74">
                        <c:v>3375000000</c:v>
                      </c:pt>
                      <c:pt idx="75">
                        <c:v>3420000000</c:v>
                      </c:pt>
                      <c:pt idx="76">
                        <c:v>3465000000</c:v>
                      </c:pt>
                      <c:pt idx="77">
                        <c:v>3510000000</c:v>
                      </c:pt>
                      <c:pt idx="78">
                        <c:v>3555000000</c:v>
                      </c:pt>
                      <c:pt idx="79">
                        <c:v>3600000000</c:v>
                      </c:pt>
                      <c:pt idx="80">
                        <c:v>3645000000</c:v>
                      </c:pt>
                      <c:pt idx="81">
                        <c:v>3690000000</c:v>
                      </c:pt>
                      <c:pt idx="82">
                        <c:v>3735000000</c:v>
                      </c:pt>
                      <c:pt idx="83">
                        <c:v>3780000000</c:v>
                      </c:pt>
                      <c:pt idx="84">
                        <c:v>3825000000</c:v>
                      </c:pt>
                      <c:pt idx="85">
                        <c:v>3870000000</c:v>
                      </c:pt>
                      <c:pt idx="86">
                        <c:v>3915000000</c:v>
                      </c:pt>
                      <c:pt idx="87">
                        <c:v>3960000000</c:v>
                      </c:pt>
                      <c:pt idx="88">
                        <c:v>4005000000</c:v>
                      </c:pt>
                      <c:pt idx="89">
                        <c:v>4050000000</c:v>
                      </c:pt>
                      <c:pt idx="90">
                        <c:v>4095000000</c:v>
                      </c:pt>
                      <c:pt idx="91">
                        <c:v>4140000000</c:v>
                      </c:pt>
                      <c:pt idx="92">
                        <c:v>4185000000</c:v>
                      </c:pt>
                      <c:pt idx="93">
                        <c:v>4230000000</c:v>
                      </c:pt>
                      <c:pt idx="94">
                        <c:v>4275000000</c:v>
                      </c:pt>
                      <c:pt idx="95">
                        <c:v>4320000000</c:v>
                      </c:pt>
                      <c:pt idx="96">
                        <c:v>4365000000</c:v>
                      </c:pt>
                      <c:pt idx="97">
                        <c:v>4410000000</c:v>
                      </c:pt>
                      <c:pt idx="98">
                        <c:v>4455000000</c:v>
                      </c:pt>
                      <c:pt idx="99">
                        <c:v>4500000000</c:v>
                      </c:pt>
                      <c:pt idx="100">
                        <c:v>4545000000</c:v>
                      </c:pt>
                      <c:pt idx="101">
                        <c:v>4590000000</c:v>
                      </c:pt>
                      <c:pt idx="102">
                        <c:v>4635000000</c:v>
                      </c:pt>
                      <c:pt idx="103">
                        <c:v>4680000000</c:v>
                      </c:pt>
                      <c:pt idx="104">
                        <c:v>4725000000</c:v>
                      </c:pt>
                      <c:pt idx="105">
                        <c:v>4770000000</c:v>
                      </c:pt>
                      <c:pt idx="106">
                        <c:v>4815000000</c:v>
                      </c:pt>
                      <c:pt idx="107">
                        <c:v>4860000000</c:v>
                      </c:pt>
                      <c:pt idx="108">
                        <c:v>4905000000</c:v>
                      </c:pt>
                      <c:pt idx="109">
                        <c:v>4950000000</c:v>
                      </c:pt>
                      <c:pt idx="110">
                        <c:v>4995000000</c:v>
                      </c:pt>
                      <c:pt idx="111">
                        <c:v>5040000000</c:v>
                      </c:pt>
                      <c:pt idx="112">
                        <c:v>5085000000</c:v>
                      </c:pt>
                      <c:pt idx="113">
                        <c:v>5130000000</c:v>
                      </c:pt>
                      <c:pt idx="114">
                        <c:v>5175000000</c:v>
                      </c:pt>
                      <c:pt idx="115">
                        <c:v>5220000000</c:v>
                      </c:pt>
                      <c:pt idx="116">
                        <c:v>5265000000</c:v>
                      </c:pt>
                      <c:pt idx="117">
                        <c:v>5310000000</c:v>
                      </c:pt>
                      <c:pt idx="118">
                        <c:v>5355000000</c:v>
                      </c:pt>
                      <c:pt idx="119">
                        <c:v>5400000000</c:v>
                      </c:pt>
                      <c:pt idx="120">
                        <c:v>5445000000</c:v>
                      </c:pt>
                      <c:pt idx="121">
                        <c:v>5490000000</c:v>
                      </c:pt>
                      <c:pt idx="122">
                        <c:v>5535000000</c:v>
                      </c:pt>
                      <c:pt idx="123">
                        <c:v>5580000000</c:v>
                      </c:pt>
                      <c:pt idx="124">
                        <c:v>5625000000</c:v>
                      </c:pt>
                      <c:pt idx="125">
                        <c:v>5670000000</c:v>
                      </c:pt>
                      <c:pt idx="126">
                        <c:v>5715000000</c:v>
                      </c:pt>
                      <c:pt idx="127">
                        <c:v>5760000000</c:v>
                      </c:pt>
                      <c:pt idx="128">
                        <c:v>5805000000</c:v>
                      </c:pt>
                      <c:pt idx="129">
                        <c:v>5850000000</c:v>
                      </c:pt>
                      <c:pt idx="130">
                        <c:v>5895000000</c:v>
                      </c:pt>
                      <c:pt idx="131">
                        <c:v>5940000000</c:v>
                      </c:pt>
                      <c:pt idx="132">
                        <c:v>5985000000</c:v>
                      </c:pt>
                      <c:pt idx="133">
                        <c:v>6030000000</c:v>
                      </c:pt>
                      <c:pt idx="134">
                        <c:v>6075000000</c:v>
                      </c:pt>
                      <c:pt idx="135">
                        <c:v>6120000000</c:v>
                      </c:pt>
                      <c:pt idx="136">
                        <c:v>6165000000</c:v>
                      </c:pt>
                      <c:pt idx="137">
                        <c:v>6210000000</c:v>
                      </c:pt>
                      <c:pt idx="138">
                        <c:v>6255000000</c:v>
                      </c:pt>
                      <c:pt idx="139">
                        <c:v>6300000000</c:v>
                      </c:pt>
                      <c:pt idx="140">
                        <c:v>6345000000</c:v>
                      </c:pt>
                      <c:pt idx="141">
                        <c:v>6390000000</c:v>
                      </c:pt>
                      <c:pt idx="142">
                        <c:v>6435000000</c:v>
                      </c:pt>
                      <c:pt idx="143">
                        <c:v>6480000000</c:v>
                      </c:pt>
                      <c:pt idx="144">
                        <c:v>6525000000</c:v>
                      </c:pt>
                      <c:pt idx="145">
                        <c:v>6570000000</c:v>
                      </c:pt>
                      <c:pt idx="146">
                        <c:v>6615000000</c:v>
                      </c:pt>
                      <c:pt idx="147">
                        <c:v>6660000000</c:v>
                      </c:pt>
                      <c:pt idx="148">
                        <c:v>6705000000</c:v>
                      </c:pt>
                      <c:pt idx="149">
                        <c:v>6750000000</c:v>
                      </c:pt>
                      <c:pt idx="150">
                        <c:v>6795000000</c:v>
                      </c:pt>
                      <c:pt idx="151">
                        <c:v>6840000000</c:v>
                      </c:pt>
                      <c:pt idx="152">
                        <c:v>6885000000</c:v>
                      </c:pt>
                      <c:pt idx="153">
                        <c:v>6930000000</c:v>
                      </c:pt>
                      <c:pt idx="154">
                        <c:v>6975000000</c:v>
                      </c:pt>
                      <c:pt idx="155">
                        <c:v>7020000000</c:v>
                      </c:pt>
                      <c:pt idx="156">
                        <c:v>7065000000</c:v>
                      </c:pt>
                      <c:pt idx="157">
                        <c:v>7110000000</c:v>
                      </c:pt>
                      <c:pt idx="158">
                        <c:v>7155000000</c:v>
                      </c:pt>
                      <c:pt idx="159">
                        <c:v>7200000000</c:v>
                      </c:pt>
                      <c:pt idx="160">
                        <c:v>7245000000</c:v>
                      </c:pt>
                      <c:pt idx="161">
                        <c:v>7290000000</c:v>
                      </c:pt>
                      <c:pt idx="162">
                        <c:v>7335000000</c:v>
                      </c:pt>
                      <c:pt idx="163">
                        <c:v>7380000000</c:v>
                      </c:pt>
                      <c:pt idx="164">
                        <c:v>7425000000</c:v>
                      </c:pt>
                      <c:pt idx="165">
                        <c:v>7470000000</c:v>
                      </c:pt>
                      <c:pt idx="166">
                        <c:v>7515000000</c:v>
                      </c:pt>
                      <c:pt idx="167">
                        <c:v>7560000000</c:v>
                      </c:pt>
                      <c:pt idx="168">
                        <c:v>7605000000</c:v>
                      </c:pt>
                      <c:pt idx="169">
                        <c:v>7650000000</c:v>
                      </c:pt>
                      <c:pt idx="170">
                        <c:v>7695000000</c:v>
                      </c:pt>
                      <c:pt idx="171">
                        <c:v>7740000000</c:v>
                      </c:pt>
                      <c:pt idx="172">
                        <c:v>7785000000</c:v>
                      </c:pt>
                      <c:pt idx="173">
                        <c:v>7830000000</c:v>
                      </c:pt>
                      <c:pt idx="174">
                        <c:v>7875000000</c:v>
                      </c:pt>
                      <c:pt idx="175">
                        <c:v>7920000000</c:v>
                      </c:pt>
                      <c:pt idx="176">
                        <c:v>7965000000</c:v>
                      </c:pt>
                      <c:pt idx="177">
                        <c:v>8010000000</c:v>
                      </c:pt>
                      <c:pt idx="178">
                        <c:v>8055000000</c:v>
                      </c:pt>
                      <c:pt idx="179">
                        <c:v>8100000000</c:v>
                      </c:pt>
                      <c:pt idx="180">
                        <c:v>8145000000</c:v>
                      </c:pt>
                      <c:pt idx="181">
                        <c:v>8190000000</c:v>
                      </c:pt>
                      <c:pt idx="182">
                        <c:v>8235000000</c:v>
                      </c:pt>
                      <c:pt idx="183">
                        <c:v>8280000000</c:v>
                      </c:pt>
                      <c:pt idx="184">
                        <c:v>8325000000</c:v>
                      </c:pt>
                      <c:pt idx="185">
                        <c:v>8370000000</c:v>
                      </c:pt>
                      <c:pt idx="186">
                        <c:v>8415000000</c:v>
                      </c:pt>
                      <c:pt idx="187">
                        <c:v>8460000000</c:v>
                      </c:pt>
                      <c:pt idx="188">
                        <c:v>8505000000</c:v>
                      </c:pt>
                      <c:pt idx="189">
                        <c:v>8550000000</c:v>
                      </c:pt>
                      <c:pt idx="190">
                        <c:v>8595000000</c:v>
                      </c:pt>
                      <c:pt idx="191">
                        <c:v>8640000000</c:v>
                      </c:pt>
                      <c:pt idx="192">
                        <c:v>8685000000</c:v>
                      </c:pt>
                      <c:pt idx="193">
                        <c:v>8730000000</c:v>
                      </c:pt>
                      <c:pt idx="194">
                        <c:v>8775000000</c:v>
                      </c:pt>
                      <c:pt idx="195">
                        <c:v>8820000000</c:v>
                      </c:pt>
                      <c:pt idx="196">
                        <c:v>8865000000</c:v>
                      </c:pt>
                      <c:pt idx="197">
                        <c:v>8910000000</c:v>
                      </c:pt>
                      <c:pt idx="198">
                        <c:v>8955000000</c:v>
                      </c:pt>
                      <c:pt idx="199">
                        <c:v>9000000000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Calculate!$AA$2:$AA$201</c15:sqref>
                        </c15:formulaRef>
                      </c:ext>
                    </c:extLst>
                    <c:numCache>
                      <c:formatCode>0.00</c:formatCode>
                      <c:ptCount val="200"/>
                      <c:pt idx="0">
                        <c:v>9553.7522671934403</c:v>
                      </c:pt>
                      <c:pt idx="1">
                        <c:v>8101.4742332713422</c:v>
                      </c:pt>
                      <c:pt idx="2">
                        <c:v>7115.682916532227</c:v>
                      </c:pt>
                      <c:pt idx="3">
                        <c:v>6364.4197538901853</c:v>
                      </c:pt>
                      <c:pt idx="4">
                        <c:v>5758.8392820040463</c:v>
                      </c:pt>
                      <c:pt idx="5">
                        <c:v>5253.8829600821418</c:v>
                      </c:pt>
                      <c:pt idx="6">
                        <c:v>4823.0866275981944</c:v>
                      </c:pt>
                      <c:pt idx="7">
                        <c:v>4449.4063119024759</c:v>
                      </c:pt>
                      <c:pt idx="8">
                        <c:v>4121.1425049712097</c:v>
                      </c:pt>
                      <c:pt idx="9">
                        <c:v>3829.8789612886903</c:v>
                      </c:pt>
                      <c:pt idx="10">
                        <c:v>3569.3395717044095</c:v>
                      </c:pt>
                      <c:pt idx="11">
                        <c:v>3334.7088368645918</c:v>
                      </c:pt>
                      <c:pt idx="12">
                        <c:v>3122.2053943035439</c:v>
                      </c:pt>
                      <c:pt idx="13">
                        <c:v>2928.8024075398253</c:v>
                      </c:pt>
                      <c:pt idx="14">
                        <c:v>2752.0375272498732</c:v>
                      </c:pt>
                      <c:pt idx="15">
                        <c:v>2589.8797752042419</c:v>
                      </c:pt>
                      <c:pt idx="16">
                        <c:v>2440.6338765693949</c:v>
                      </c:pt>
                      <c:pt idx="17">
                        <c:v>2302.8699682547926</c:v>
                      </c:pt>
                      <c:pt idx="18">
                        <c:v>2175.3709481739743</c:v>
                      </c:pt>
                      <c:pt idx="19">
                        <c:v>2057.0923651737635</c:v>
                      </c:pt>
                      <c:pt idx="20">
                        <c:v>1947.1314011889453</c:v>
                      </c:pt>
                      <c:pt idx="21">
                        <c:v>1844.7025617482436</c:v>
                      </c:pt>
                      <c:pt idx="22">
                        <c:v>1749.1183939781054</c:v>
                      </c:pt>
                      <c:pt idx="23">
                        <c:v>1659.7740257829339</c:v>
                      </c:pt>
                      <c:pt idx="24">
                        <c:v>1576.1346465362421</c:v>
                      </c:pt>
                      <c:pt idx="25">
                        <c:v>1497.7252784490779</c:v>
                      </c:pt>
                      <c:pt idx="26">
                        <c:v>1424.1223507422119</c:v>
                      </c:pt>
                      <c:pt idx="27">
                        <c:v>1354.9467064318605</c:v>
                      </c:pt>
                      <c:pt idx="28">
                        <c:v>1289.8577577427882</c:v>
                      </c:pt>
                      <c:pt idx="29">
                        <c:v>1228.5485700815684</c:v>
                      </c:pt>
                      <c:pt idx="30">
                        <c:v>1170.7417023439418</c:v>
                      </c:pt>
                      <c:pt idx="31">
                        <c:v>1116.1856677105086</c:v>
                      </c:pt>
                      <c:pt idx="32">
                        <c:v>1064.6519067906763</c:v>
                      </c:pt>
                      <c:pt idx="33">
                        <c:v>1015.9321864465514</c:v>
                      </c:pt>
                      <c:pt idx="34">
                        <c:v>969.83635434070527</c:v>
                      </c:pt>
                      <c:pt idx="35">
                        <c:v>926.19039232165289</c:v>
                      </c:pt>
                      <c:pt idx="36">
                        <c:v>884.83472216003065</c:v>
                      </c:pt>
                      <c:pt idx="37">
                        <c:v>845.6227253789051</c:v>
                      </c:pt>
                      <c:pt idx="38">
                        <c:v>808.41944554962254</c:v>
                      </c:pt>
                      <c:pt idx="39">
                        <c:v>773.10044674032076</c:v>
                      </c:pt>
                      <c:pt idx="40">
                        <c:v>739.55080616244288</c:v>
                      </c:pt>
                      <c:pt idx="41">
                        <c:v>707.66422256277474</c:v>
                      </c:pt>
                      <c:pt idx="42">
                        <c:v>677.34222480557116</c:v>
                      </c:pt>
                      <c:pt idx="43">
                        <c:v>648.4934675085367</c:v>
                      </c:pt>
                      <c:pt idx="44">
                        <c:v>621.03310251466451</c:v>
                      </c:pt>
                      <c:pt idx="45">
                        <c:v>594.8822166816293</c:v>
                      </c:pt>
                      <c:pt idx="46">
                        <c:v>569.96732780325021</c:v>
                      </c:pt>
                      <c:pt idx="47">
                        <c:v>546.21993164678179</c:v>
                      </c:pt>
                      <c:pt idx="48">
                        <c:v>523.57609405446215</c:v>
                      </c:pt>
                      <c:pt idx="49">
                        <c:v>501.97608287641248</c:v>
                      </c:pt>
                      <c:pt idx="50">
                        <c:v>481.36403519618301</c:v>
                      </c:pt>
                      <c:pt idx="51">
                        <c:v>461.68765590375051</c:v>
                      </c:pt>
                      <c:pt idx="52">
                        <c:v>442.89794416869654</c:v>
                      </c:pt>
                      <c:pt idx="53">
                        <c:v>424.94894480746149</c:v>
                      </c:pt>
                      <c:pt idx="54">
                        <c:v>407.79752190684178</c:v>
                      </c:pt>
                      <c:pt idx="55">
                        <c:v>391.4031523739792</c:v>
                      </c:pt>
                      <c:pt idx="56">
                        <c:v>375.72773738268125</c:v>
                      </c:pt>
                      <c:pt idx="57">
                        <c:v>360.73542990754248</c:v>
                      </c:pt>
                      <c:pt idx="58">
                        <c:v>346.39247674131923</c:v>
                      </c:pt>
                      <c:pt idx="59">
                        <c:v>332.66707359492318</c:v>
                      </c:pt>
                      <c:pt idx="60">
                        <c:v>319.52923200853098</c:v>
                      </c:pt>
                      <c:pt idx="61">
                        <c:v>306.95065696805716</c:v>
                      </c:pt>
                      <c:pt idx="62">
                        <c:v>294.90463421475295</c:v>
                      </c:pt>
                      <c:pt idx="63">
                        <c:v>283.36592636697878</c:v>
                      </c:pt>
                      <c:pt idx="64">
                        <c:v>272.31067705301518</c:v>
                      </c:pt>
                      <c:pt idx="65">
                        <c:v>261.71632233220339</c:v>
                      </c:pt>
                      <c:pt idx="66">
                        <c:v>251.5615087742016</c:v>
                      </c:pt>
                      <c:pt idx="67">
                        <c:v>241.82601760656178</c:v>
                      </c:pt>
                      <c:pt idx="68">
                        <c:v>232.4906944170292</c:v>
                      </c:pt>
                      <c:pt idx="69">
                        <c:v>223.53738393566928</c:v>
                      </c:pt>
                      <c:pt idx="70">
                        <c:v>214.94886947828616</c:v>
                      </c:pt>
                      <c:pt idx="71">
                        <c:v>206.70881665939748</c:v>
                      </c:pt>
                      <c:pt idx="72">
                        <c:v>198.80172103301032</c:v>
                      </c:pt>
                      <c:pt idx="73">
                        <c:v>191.21285934346071</c:v>
                      </c:pt>
                      <c:pt idx="74">
                        <c:v>183.92824409671741</c:v>
                      </c:pt>
                      <c:pt idx="75">
                        <c:v>176.93458119469582</c:v>
                      </c:pt>
                      <c:pt idx="76">
                        <c:v>170.21923039575776</c:v>
                      </c:pt>
                      <c:pt idx="77">
                        <c:v>163.77016837914024</c:v>
                      </c:pt>
                      <c:pt idx="78">
                        <c:v>157.57595422157257</c:v>
                      </c:pt>
                      <c:pt idx="79">
                        <c:v>151.62569710294861</c:v>
                      </c:pt>
                      <c:pt idx="80">
                        <c:v>145.90902607616292</c:v>
                      </c:pt>
                      <c:pt idx="81">
                        <c:v>140.4160617474781</c:v>
                      </c:pt>
                      <c:pt idx="82">
                        <c:v>135.13738973317103</c:v>
                      </c:pt>
                      <c:pt idx="83">
                        <c:v>130.06403576182302</c:v>
                      </c:pt>
                      <c:pt idx="84">
                        <c:v>125.18744230469747</c:v>
                      </c:pt>
                      <c:pt idx="85">
                        <c:v>120.49944663112058</c:v>
                      </c:pt>
                      <c:pt idx="86">
                        <c:v>115.99226018287058</c:v>
                      </c:pt>
                      <c:pt idx="87">
                        <c:v>111.65844918462116</c:v>
                      </c:pt>
                      <c:pt idx="88">
                        <c:v>107.49091639876382</c:v>
                      </c:pt>
                      <c:pt idx="89">
                        <c:v>103.48288395313449</c:v>
                      </c:pt>
                      <c:pt idx="90">
                        <c:v>99.627877165478395</c:v>
                      </c:pt>
                      <c:pt idx="91">
                        <c:v>95.919709301526282</c:v>
                      </c:pt>
                      <c:pt idx="92">
                        <c:v>92.352467204326501</c:v>
                      </c:pt>
                      <c:pt idx="93">
                        <c:v>88.920497738053143</c:v>
                      </c:pt>
                      <c:pt idx="94">
                        <c:v>85.618394992719431</c:v>
                      </c:pt>
                      <c:pt idx="95">
                        <c:v>82.440988205065906</c:v>
                      </c:pt>
                      <c:pt idx="96">
                        <c:v>79.383330345128314</c:v>
                      </c:pt>
                      <c:pt idx="97">
                        <c:v>76.440687330280284</c:v>
                      </c:pt>
                      <c:pt idx="98">
                        <c:v>73.608527826327858</c:v>
                      </c:pt>
                      <c:pt idx="99">
                        <c:v>70.882513599997353</c:v>
                      </c:pt>
                      <c:pt idx="100">
                        <c:v>68.258490388749408</c:v>
                      </c:pt>
                      <c:pt idx="101">
                        <c:v>65.732479256143549</c:v>
                      </c:pt>
                      <c:pt idx="102">
                        <c:v>63.300668404886679</c:v>
                      </c:pt>
                      <c:pt idx="103">
                        <c:v>60.959405418405133</c:v>
                      </c:pt>
                      <c:pt idx="104">
                        <c:v>58.705189907250414</c:v>
                      </c:pt>
                      <c:pt idx="105">
                        <c:v>56.534666535362589</c:v>
                      </c:pt>
                      <c:pt idx="106">
                        <c:v>54.444618405060574</c:v>
                      </c:pt>
                      <c:pt idx="107">
                        <c:v>52.431960778877993</c:v>
                      </c:pt>
                      <c:pt idx="108">
                        <c:v>50.493735119793897</c:v>
                      </c:pt>
                      <c:pt idx="109">
                        <c:v>48.627103431333381</c:v>
                      </c:pt>
                      <c:pt idx="110">
                        <c:v>46.829342881280894</c:v>
                      </c:pt>
                      <c:pt idx="111">
                        <c:v>45.097840691217471</c:v>
                      </c:pt>
                      <c:pt idx="112">
                        <c:v>43.430089280172574</c:v>
                      </c:pt>
                      <c:pt idx="113">
                        <c:v>41.823681644170634</c:v>
                      </c:pt>
                      <c:pt idx="114">
                        <c:v>40.276306963326938</c:v>
                      </c:pt>
                      <c:pt idx="115">
                        <c:v>38.785746420283061</c:v>
                      </c:pt>
                      <c:pt idx="116">
                        <c:v>37.349869220929413</c:v>
                      </c:pt>
                      <c:pt idx="117">
                        <c:v>35.966628804703198</c:v>
                      </c:pt>
                      <c:pt idx="118">
                        <c:v>34.634059236486259</c:v>
                      </c:pt>
                      <c:pt idx="119">
                        <c:v>33.350271767980459</c:v>
                      </c:pt>
                      <c:pt idx="120">
                        <c:v>32.113451561817449</c:v>
                      </c:pt>
                      <c:pt idx="121">
                        <c:v>30.921854568663125</c:v>
                      </c:pt>
                      <c:pt idx="122">
                        <c:v>29.773804549243838</c:v>
                      </c:pt>
                      <c:pt idx="123">
                        <c:v>28.667690234719689</c:v>
                      </c:pt>
                      <c:pt idx="124">
                        <c:v>27.601962617534241</c:v>
                      </c:pt>
                      <c:pt idx="125">
                        <c:v>26.575132366064107</c:v>
                      </c:pt>
                      <c:pt idx="126">
                        <c:v>25.585767357485221</c:v>
                      </c:pt>
                      <c:pt idx="127">
                        <c:v>24.632490321813865</c:v>
                      </c:pt>
                      <c:pt idx="128">
                        <c:v>23.713976592775676</c:v>
                      </c:pt>
                      <c:pt idx="129">
                        <c:v>22.828951958920065</c:v>
                      </c:pt>
                      <c:pt idx="130">
                        <c:v>21.976190610952415</c:v>
                      </c:pt>
                      <c:pt idx="131">
                        <c:v>21.154513180292444</c:v>
                      </c:pt>
                      <c:pt idx="132">
                        <c:v>20.362784863950314</c:v>
                      </c:pt>
                      <c:pt idx="133">
                        <c:v>19.599913632118771</c:v>
                      </c:pt>
                      <c:pt idx="134">
                        <c:v>18.864848514188687</c:v>
                      </c:pt>
                      <c:pt idx="135">
                        <c:v>18.156577959420723</c:v>
                      </c:pt>
                      <c:pt idx="136">
                        <c:v>17.474128268471222</c:v>
                      </c:pt>
                      <c:pt idx="137">
                        <c:v>16.816562093035049</c:v>
                      </c:pt>
                      <c:pt idx="138">
                        <c:v>16.182976999519504</c:v>
                      </c:pt>
                      <c:pt idx="139">
                        <c:v>15.572504094588236</c:v>
                      </c:pt>
                      <c:pt idx="140">
                        <c:v>14.984306708856817</c:v>
                      </c:pt>
                      <c:pt idx="141">
                        <c:v>14.417579136704576</c:v>
                      </c:pt>
                      <c:pt idx="142">
                        <c:v>13.871545429180552</c:v>
                      </c:pt>
                      <c:pt idx="143">
                        <c:v>13.345458237599154</c:v>
                      </c:pt>
                      <c:pt idx="144">
                        <c:v>12.838597705733875</c:v>
                      </c:pt>
                      <c:pt idx="145">
                        <c:v>12.35027040811438</c:v>
                      </c:pt>
                      <c:pt idx="146">
                        <c:v>11.879808332367796</c:v>
                      </c:pt>
                      <c:pt idx="147">
                        <c:v>11.426567903870918</c:v>
                      </c:pt>
                      <c:pt idx="148">
                        <c:v>10.989929050277434</c:v>
                      </c:pt>
                      <c:pt idx="149">
                        <c:v>10.569294304795889</c:v>
                      </c:pt>
                      <c:pt idx="150">
                        <c:v>10.164087945908392</c:v>
                      </c:pt>
                      <c:pt idx="151">
                        <c:v>9.7737551721540488</c:v>
                      </c:pt>
                      <c:pt idx="152">
                        <c:v>9.3977613105023377</c:v>
                      </c:pt>
                      <c:pt idx="153">
                        <c:v>9.0355910567236482</c:v>
                      </c:pt>
                      <c:pt idx="154">
                        <c:v>8.6867477462351363</c:v>
                      </c:pt>
                      <c:pt idx="155">
                        <c:v>8.3507526543751371</c:v>
                      </c:pt>
                      <c:pt idx="156">
                        <c:v>8.027144324616982</c:v>
                      </c:pt>
                      <c:pt idx="157">
                        <c:v>7.7154779234904725</c:v>
                      </c:pt>
                      <c:pt idx="158">
                        <c:v>7.4153246212975086</c:v>
                      </c:pt>
                      <c:pt idx="159">
                        <c:v>7.1262709971110905</c:v>
                      </c:pt>
                      <c:pt idx="160">
                        <c:v>6.8479184675061555</c:v>
                      </c:pt>
                      <c:pt idx="161">
                        <c:v>6.5798827375312179</c:v>
                      </c:pt>
                      <c:pt idx="162">
                        <c:v>6.3217932734210285</c:v>
                      </c:pt>
                      <c:pt idx="163">
                        <c:v>6.0732927956609384</c:v>
                      </c:pt>
                      <c:pt idx="164">
                        <c:v>5.8340367920255183</c:v>
                      </c:pt>
                      <c:pt idx="165">
                        <c:v>5.6036930494169654</c:v>
                      </c:pt>
                      <c:pt idx="166">
                        <c:v>5.3819412037738896</c:v>
                      </c:pt>
                      <c:pt idx="167">
                        <c:v>5.1684723074785186</c:v>
                      </c:pt>
                      <c:pt idx="168">
                        <c:v>4.9629884132922069</c:v>
                      </c:pt>
                      <c:pt idx="169">
                        <c:v>4.7652021742972686</c:v>
                      </c:pt>
                      <c:pt idx="170">
                        <c:v>4.5748364591628201</c:v>
                      </c:pt>
                      <c:pt idx="171">
                        <c:v>4.3916239819905201</c:v>
                      </c:pt>
                      <c:pt idx="172">
                        <c:v>4.2153069463584032</c:v>
                      </c:pt>
                      <c:pt idx="173">
                        <c:v>4.0456367027339519</c:v>
                      </c:pt>
                      <c:pt idx="174">
                        <c:v>3.882373418951798</c:v>
                      </c:pt>
                      <c:pt idx="175">
                        <c:v>3.7252857630377467</c:v>
                      </c:pt>
                      <c:pt idx="176">
                        <c:v>3.5741505979933641</c:v>
                      </c:pt>
                      <c:pt idx="177">
                        <c:v>3.4287526880063686</c:v>
                      </c:pt>
                      <c:pt idx="178">
                        <c:v>3.2888844156940182</c:v>
                      </c:pt>
                      <c:pt idx="179">
                        <c:v>3.1543455098275053</c:v>
                      </c:pt>
                      <c:pt idx="180">
                        <c:v>3.0249427832524178</c:v>
                      </c:pt>
                      <c:pt idx="181">
                        <c:v>2.900489880478728</c:v>
                      </c:pt>
                      <c:pt idx="182">
                        <c:v>2.780807034662284</c:v>
                      </c:pt>
                      <c:pt idx="183">
                        <c:v>2.6657208335487281</c:v>
                      </c:pt>
                      <c:pt idx="184">
                        <c:v>2.5550639940127691</c:v>
                      </c:pt>
                      <c:pt idx="185">
                        <c:v>2.4486751449210891</c:v>
                      </c:pt>
                      <c:pt idx="186">
                        <c:v>2.346398617930666</c:v>
                      </c:pt>
                      <c:pt idx="187">
                        <c:v>2.2480842459638022</c:v>
                      </c:pt>
                      <c:pt idx="188">
                        <c:v>2.153587169009259</c:v>
                      </c:pt>
                      <c:pt idx="189">
                        <c:v>2.0627676470296703</c:v>
                      </c:pt>
                      <c:pt idx="190">
                        <c:v>1.9754908796290098</c:v>
                      </c:pt>
                      <c:pt idx="191">
                        <c:v>1.8916268322920518</c:v>
                      </c:pt>
                      <c:pt idx="192">
                        <c:v>1.8110500688839368</c:v>
                      </c:pt>
                      <c:pt idx="193">
                        <c:v>1.7336395902260531</c:v>
                      </c:pt>
                      <c:pt idx="194">
                        <c:v>1.6592786784486186</c:v>
                      </c:pt>
                      <c:pt idx="195">
                        <c:v>1.5878547469782234</c:v>
                      </c:pt>
                      <c:pt idx="196">
                        <c:v>1.5192591958754353</c:v>
                      </c:pt>
                      <c:pt idx="197">
                        <c:v>1.4533872723829038</c:v>
                      </c:pt>
                      <c:pt idx="198">
                        <c:v>1.3901379364304398</c:v>
                      </c:pt>
                      <c:pt idx="199">
                        <c:v>1.3294137309487388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4BA-4B27-90CF-23E3B49F7A94}"/>
                  </c:ext>
                </c:extLst>
              </c15:ser>
            </c15:filteredScatterSeries>
          </c:ext>
        </c:extLst>
      </c:scatterChart>
      <c:valAx>
        <c:axId val="932522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7584"/>
        <c:crosses val="autoZero"/>
        <c:crossBetween val="midCat"/>
        <c:dispUnits>
          <c:builtInUnit val="billions"/>
        </c:dispUnits>
      </c:valAx>
      <c:valAx>
        <c:axId val="932527584"/>
        <c:scaling>
          <c:orientation val="minMax"/>
          <c:max val="-60"/>
          <c:min val="-1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2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1390650</xdr:colOff>
      <xdr:row>1</xdr:row>
      <xdr:rowOff>257176</xdr:rowOff>
    </xdr:from>
    <xdr:to>
      <xdr:col>1</xdr:col>
      <xdr:colOff>6067425</xdr:colOff>
      <xdr:row>1</xdr:row>
      <xdr:rowOff>2115712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ADDC65-CAB5-4A5F-9EC7-AC0D9EF1E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" y="638176"/>
          <a:ext cx="6477000" cy="1858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330476</xdr:colOff>
      <xdr:row>1</xdr:row>
      <xdr:rowOff>1</xdr:rowOff>
    </xdr:from>
    <xdr:to>
      <xdr:col>10</xdr:col>
      <xdr:colOff>610014</xdr:colOff>
      <xdr:row>21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331303</xdr:colOff>
      <xdr:row>22</xdr:row>
      <xdr:rowOff>10353</xdr:rowOff>
    </xdr:from>
    <xdr:to>
      <xdr:col>10</xdr:col>
      <xdr:colOff>610841</xdr:colOff>
      <xdr:row>43</xdr:row>
      <xdr:rowOff>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12</xdr:col>
      <xdr:colOff>0</xdr:colOff>
      <xdr:row>22</xdr:row>
      <xdr:rowOff>10353</xdr:rowOff>
    </xdr:from>
    <xdr:to>
      <xdr:col>19</xdr:col>
      <xdr:colOff>9525</xdr:colOff>
      <xdr:row>43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12</xdr:col>
      <xdr:colOff>0</xdr:colOff>
      <xdr:row>1</xdr:row>
      <xdr:rowOff>0</xdr:rowOff>
    </xdr:from>
    <xdr:to>
      <xdr:col>19</xdr:col>
      <xdr:colOff>10353</xdr:colOff>
      <xdr:row>21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>
    <xdr:from>
      <xdr:col>18</xdr:col>
      <xdr:colOff>169334</xdr:colOff>
      <xdr:row>23</xdr:row>
      <xdr:rowOff>105832</xdr:rowOff>
    </xdr:from>
    <xdr:to>
      <xdr:col>19</xdr:col>
      <xdr:colOff>52916</xdr:colOff>
      <xdr:row>24</xdr:row>
      <xdr:rowOff>126999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2752917" y="4582582"/>
          <a:ext cx="497416" cy="21166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800"/>
            <a:t>[GHz]</a:t>
          </a:r>
        </a:p>
      </xdr:txBody>
    </xdr:sp>
    <xdr:clientData/>
  </xdr:twoCellAnchor>
  <xdr:twoCellAnchor>
    <xdr:from>
      <xdr:col>10</xdr:col>
      <xdr:colOff>179917</xdr:colOff>
      <xdr:row>23</xdr:row>
      <xdr:rowOff>116416</xdr:rowOff>
    </xdr:from>
    <xdr:to>
      <xdr:col>11</xdr:col>
      <xdr:colOff>84667</xdr:colOff>
      <xdr:row>24</xdr:row>
      <xdr:rowOff>158750</xdr:rowOff>
    </xdr:to>
    <xdr:sp macro="" textlink="">
      <xdr:nvSpPr>
        <xdr:cNvPr id="7" name="Text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8276167" y="4593166"/>
          <a:ext cx="518583" cy="232834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800"/>
            <a:t>[GHz]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0.89064</cdr:x>
      <cdr:y>0.41982</cdr:y>
    </cdr:from>
    <cdr:to>
      <cdr:x>0.98547</cdr:x>
      <cdr:y>0.47522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DFA85E2-EAA5-40A3-A3E8-C67F134A0A3A}"/>
            </a:ext>
          </a:extLst>
        </cdr:cNvPr>
        <cdr:cNvSpPr txBox="1"/>
      </cdr:nvSpPr>
      <cdr:spPr>
        <a:xfrm xmlns:a="http://schemas.openxmlformats.org/drawingml/2006/main">
          <a:off x="3826934" y="1523999"/>
          <a:ext cx="407459" cy="201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800"/>
            <a:t>[GHz]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0.88916</cdr:x>
      <cdr:y>0.1368</cdr:y>
    </cdr:from>
    <cdr:to>
      <cdr:x>0.98378</cdr:x>
      <cdr:y>0.19234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FB1B9CB-E3DE-422C-AB7A-A1FACB819926}"/>
            </a:ext>
          </a:extLst>
        </cdr:cNvPr>
        <cdr:cNvSpPr txBox="1"/>
      </cdr:nvSpPr>
      <cdr:spPr>
        <a:xfrm xmlns:a="http://schemas.openxmlformats.org/drawingml/2006/main">
          <a:off x="3829050" y="495300"/>
          <a:ext cx="407459" cy="201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/>
            <a:t>[GHz]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jonsson\Documents\C_Work\CableModels\RHJ3TransmissionLineCalculator_V0_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tel_3cy_01_0920"/>
      <sheetName val="Cat6 191-031179-00"/>
      <sheetName val="Coax 390058D"/>
      <sheetName val="Info"/>
    </sheetNames>
    <sheetDataSet>
      <sheetData sheetId="0">
        <row r="2">
          <cell r="M2">
            <v>10</v>
          </cell>
        </row>
      </sheetData>
      <sheetData sheetId="1">
        <row r="15">
          <cell r="E15">
            <v>0.36866957473227213</v>
          </cell>
        </row>
      </sheetData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D4469ED-EAA1-4FEC-9B23-6790977968DA}" name="Calculate" displayName="Calculate" ref="A1:AB201" totalsRowShown="0" headerRowDxfId="73">
  <autoFilter ref="A1:AB201" xr:uid="{0A961ECD-773E-4E19-B8FC-6A71E8292755}"/>
  <tableColumns count="28">
    <tableColumn id="1" xr3:uid="{47574F73-CBC6-4BF7-B7C1-FEDC988AC86C}" name="Freq" dataDxfId="72">
      <calculatedColumnFormula>f_step+A1</calculatedColumnFormula>
    </tableColumn>
    <tableColumn id="23" xr3:uid="{B50C0AEE-F7AA-4C99-A709-B88BF8AA97E1}" name="dF" dataDxfId="71">
      <calculatedColumnFormula>Calculate[[#This Row],[Freq]]-A1</calculatedColumnFormula>
    </tableColumn>
    <tableColumn id="27" xr3:uid="{94499F6C-FCF1-4A9B-98C6-91FC2BE7F85E}" name="IL_Cable" dataDxfId="70">
      <calculatedColumnFormula>Channels!B2*cable_length</calculatedColumnFormula>
    </tableColumn>
    <tableColumn id="28" xr3:uid="{B59B95DD-CCBC-40A6-935E-345DD5A04CD8}" name="IL_PCB" dataDxfId="69">
      <calculatedColumnFormula>Channels!C2*PCB_trace_length</calculatedColumnFormula>
    </tableColumn>
    <tableColumn id="2" xr3:uid="{3E220E03-AA9C-441E-8CB3-0D3B1AC3CA46}" name="IL" dataDxfId="68">
      <calculatedColumnFormula>Calculate[[#This Row],[IL_Cable]]+Calculate[[#This Row],[IL_PCB]]</calculatedColumnFormula>
    </tableColumn>
    <tableColumn id="3" xr3:uid="{80E0941B-B6C4-4CCC-B882-14873A9358CE}" name="Tx_PSD_us" dataDxfId="67">
      <calculatedColumnFormula>Masks!A2</calculatedColumnFormula>
    </tableColumn>
    <tableColumn id="4" xr3:uid="{81AF2FB5-DEA6-4534-A4FE-396951E622C6}" name="Tx_PSD_ds" dataDxfId="66">
      <calculatedColumnFormula>Masks!B2</calculatedColumnFormula>
    </tableColumn>
    <tableColumn id="5" xr3:uid="{FF233492-D23C-49FC-BC2B-8C6BEB5533B8}" name="Rx_PSD_us" dataDxfId="65">
      <calculatedColumnFormula>Calculate[[#This Row],[Tx_PSD_us]]+Calculate[[#This Row],[IL]]</calculatedColumnFormula>
    </tableColumn>
    <tableColumn id="6" xr3:uid="{72179AEB-25C3-4E92-BE10-7CF0075708B0}" name="Rx_PSD_ds" dataDxfId="64">
      <calculatedColumnFormula>Calculate[[#This Row],[Tx_PSD_ds]]+Calculate[[#This Row],[IL]]</calculatedColumnFormula>
    </tableColumn>
    <tableColumn id="7" xr3:uid="{36E9EEA4-1BC1-4008-8604-FE887075A0F7}" name="Echo_transfer_us" dataDxfId="63">
      <calculatedColumnFormula>Masks[[#This Row],[channel_echo]]</calculatedColumnFormula>
    </tableColumn>
    <tableColumn id="8" xr3:uid="{B6079762-149E-46C1-B44B-30B2E51E09A0}" name="Echo_transfer_ds" dataDxfId="62">
      <calculatedColumnFormula>Masks[[#This Row],[channel_echo]]</calculatedColumnFormula>
    </tableColumn>
    <tableColumn id="9" xr3:uid="{F103180A-51B2-4EA4-884A-32E1D88F00F4}" name="Rx_echo_us" dataDxfId="61">
      <calculatedColumnFormula>Calculate[[#This Row],[Echo_transfer_us]]+Calculate[[#This Row],[Tx_PSD_ds]]</calculatedColumnFormula>
    </tableColumn>
    <tableColumn id="10" xr3:uid="{31808393-F5FB-4A73-8C95-B0A515DFFCC9}" name="Rx_echo_ds" dataDxfId="60">
      <calculatedColumnFormula>Calculate[[#This Row],[Echo_transfer_ds]]+Calculate[[#This Row],[Tx_PSD_us]]</calculatedColumnFormula>
    </tableColumn>
    <tableColumn id="11" xr3:uid="{A17B85B3-208D-4C89-8263-2CB5C2D6C8B0}" name="AFE_noise_us" dataDxfId="59">
      <calculatedColumnFormula>AFE_noise_us</calculatedColumnFormula>
    </tableColumn>
    <tableColumn id="12" xr3:uid="{F3FEFAF2-B03E-460B-AEC7-F48C1540BC08}" name="AFE_noise_ds" dataDxfId="58">
      <calculatedColumnFormula>AFE_noise_ds</calculatedColumnFormula>
    </tableColumn>
    <tableColumn id="13" xr3:uid="{C1E1C18D-BD0A-4AE9-83F0-1CB649E68713}" name="EC_cancelation_us" dataDxfId="57">
      <calculatedColumnFormula>EC_cancel_us</calculatedColumnFormula>
    </tableColumn>
    <tableColumn id="14" xr3:uid="{435D83B7-B99B-4E54-9DB0-31D9E1323947}" name="EC_cancelation_ds" dataDxfId="56">
      <calculatedColumnFormula>EC_cancel_ds</calculatedColumnFormula>
    </tableColumn>
    <tableColumn id="15" xr3:uid="{77C295E3-2526-4566-A39D-DD1131031E59}" name="Echo_res_us" dataDxfId="55">
      <calculatedColumnFormula>10*LOG10((10^(Calculate[[#This Row],[Rx_echo_us]]/10))-(10^((Masks[[#This Row],[connector_echo]]+Calculate[[#This Row],[Tx_PSD_ds]])/10))*EC_conector_ratio_us)-Calculate[[#This Row],[EC_cancelation_us]]</calculatedColumnFormula>
    </tableColumn>
    <tableColumn id="16" xr3:uid="{EA84BFAA-C5A6-44B1-A792-08E51AD003A6}" name="Echo_res_ds" dataDxfId="54">
      <calculatedColumnFormula>10*LOG10((10^(Calculate[[#This Row],[Rx_echo_ds]]/10))-(10^((Masks[[#This Row],[connector_echo]]+Calculate[[#This Row],[Tx_PSD_us]])/10))*EC_conector_ratio_ds)-Calculate[[#This Row],[EC_cancelation_ds]]</calculatedColumnFormula>
    </tableColumn>
    <tableColumn id="26" xr3:uid="{522AA421-20CF-4314-9FAF-1D978E0F2403}" name="Linear_Noise_us" dataDxfId="53">
      <calculatedColumnFormula>(POWER(10,Calculate[[#This Row],[AFE_noise_us]]/10)+POWER(10,Calculate[[#This Row],[Echo_res_us]]/10))</calculatedColumnFormula>
    </tableColumn>
    <tableColumn id="25" xr3:uid="{AA3DD63F-B76E-40D6-899C-631990D925E5}" name="Linear_Noise_ds" dataDxfId="52">
      <calculatedColumnFormula>(POWER(10,Calculate[[#This Row],[AFE_noise_ds]]/10)+POWER(10,Calculate[[#This Row],[Echo_res_ds]]/10))</calculatedColumnFormula>
    </tableColumn>
    <tableColumn id="17" xr3:uid="{91BD0798-F503-4361-9589-07C5E9EF6BF5}" name="Noise_us" dataDxfId="51">
      <calculatedColumnFormula>10*LOG10(Calculate[[#This Row],[Linear_Noise_us]])</calculatedColumnFormula>
    </tableColumn>
    <tableColumn id="18" xr3:uid="{F2A3AD70-6EFA-4C29-B25D-F262C6BE2D77}" name="Noise_ds" dataDxfId="50">
      <calculatedColumnFormula>10*LOG10(Calculate[[#This Row],[Linear_Noise_ds]])</calculatedColumnFormula>
    </tableColumn>
    <tableColumn id="19" xr3:uid="{501A53E3-DA3D-4AC6-9AE6-A1F7872D77EC}" name="SNRdB_us" dataDxfId="49">
      <calculatedColumnFormula>Calculate[[#This Row],[Rx_PSD_us]]-Calculate[[#This Row],[Noise_us]]</calculatedColumnFormula>
    </tableColumn>
    <tableColumn id="20" xr3:uid="{B2378474-D3F7-4C78-9DC9-460BE51D760D}" name="SNRdB_ds" dataDxfId="48">
      <calculatedColumnFormula>Calculate[[#This Row],[Rx_PSD_ds]]-Calculate[[#This Row],[Noise_ds]]</calculatedColumnFormula>
    </tableColumn>
    <tableColumn id="21" xr3:uid="{505EABE6-7D5E-43E4-8AB5-97AE444007C7}" name="SNR_us" dataDxfId="47">
      <calculatedColumnFormula>POWER(10,Calculate[[#This Row],[SNRdB_us]]/10)</calculatedColumnFormula>
    </tableColumn>
    <tableColumn id="22" xr3:uid="{C3EF8758-3A22-4307-A1D6-22A9CFBE7087}" name="SNR_ds" dataDxfId="46">
      <calculatedColumnFormula>POWER(10,Calculate[[#This Row],[SNRdB_ds]]/10)</calculatedColumnFormula>
    </tableColumn>
    <tableColumn id="24" xr3:uid="{F4C329B4-5053-466B-8F41-D91541AC9E1F}" name="zimmerman_mask" dataDxfId="45">
      <calculatedColumnFormula>-(0.002*Calculate[[#This Row],[Freq]]/1000000/2.5+0.68*(Calculate[[#This Row],[Freq]]/1000000/2.5)^0.45)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D2F02FB-8ADF-4CD4-8506-6D329B314FF2}" name="Masks" displayName="Masks" ref="D1:U201" totalsRowShown="0">
  <autoFilter ref="D1:U201" xr:uid="{37D3EF19-2215-474F-B1C2-4268F3999783}"/>
  <tableColumns count="18">
    <tableColumn id="1" xr3:uid="{F854A5DD-2725-40E3-BD9E-EAAFA64FD14B}" name="f">
      <calculatedColumnFormula>Calculate[[#This Row],[Freq]]</calculatedColumnFormula>
    </tableColumn>
    <tableColumn id="2" xr3:uid="{D3A8C59C-5BA8-4F32-A305-B0D31C7A8CA7}" name="eq149-14_us" dataDxfId="44">
      <calculatedColumnFormula>MIN(-90, -89-Masks[[#This Row],[f]]/(600000000*S_ch_us),-82-Masks[[#This Row],[f]]/(250000000*S_ch_us))-K_ch_UPSD_us</calculatedColumnFormula>
    </tableColumn>
    <tableColumn id="3" xr3:uid="{FB1C3C79-C410-4CFF-9183-D85C47C02DE8}" name="eq149-14_ds" dataDxfId="43">
      <calculatedColumnFormula>MIN(-90, -89-Masks[[#This Row],[f]]/(600000000*S_ch_ds),-82-Masks[[#This Row],[f]]/(250000000*S_ch_ds))-K_ch_UPSD_ds</calculatedColumnFormula>
    </tableColumn>
    <tableColumn id="4" xr3:uid="{E2273BFF-902E-4A37-8AF4-4E61A8A4537F}" name="eq149-22_us" dataDxfId="42">
      <calculatedColumnFormula>-MAX(MIN(20,20-10*LOG10(2*Masks[[#This Row],[f]]/480000000)),12-3)</calculatedColumnFormula>
    </tableColumn>
    <tableColumn id="5" xr3:uid="{7FED1B31-934A-4E8B-B363-F55FA81BA2F8}" name="eq149-22_ds" dataDxfId="41">
      <calculatedColumnFormula>-MAX(MIN(20,20-10*LOG10(2*Masks[[#This Row],[f]]/480000000)),12-3)</calculatedColumnFormula>
    </tableColumn>
    <tableColumn id="6" xr3:uid="{3E836505-666C-4F55-BB1F-1C3E939CCE19}" name="PSD_brick_us" dataDxfId="40">
      <calculatedColumnFormula>10*LOG10(POWER(10,Tx_power_us/10)/F_Nyquist_us)+IF(Masks[[#This Row],[f]]&gt;F_Nyquist_us,-50)</calculatedColumnFormula>
    </tableColumn>
    <tableColumn id="7" xr3:uid="{10189056-9DF3-4ADA-A872-001D3789AE52}" name="PSD_brick_ds" dataDxfId="39">
      <calculatedColumnFormula>10*LOG10(POWER(10,Tx_power_ds/10)/F_Nyquist_ds)+IF(Masks[[#This Row],[f]]&gt;F_Nyquist_ds,-50)</calculatedColumnFormula>
    </tableColumn>
    <tableColumn id="15" xr3:uid="{366600DB-71A8-4884-9EFB-070FAE04615C}" name="PSD_ZOH_us" dataDxfId="38">
      <calculatedColumnFormula>20*LOG10(ABS(SIN(PI()*Masks[[#This Row],[f]]/Config!$B$41/2000000000)/(PI()*Masks[[#This Row],[f]]/Config!$B$41/2000000000)))+Tx_power_us-10*LOG10(F_Nyquist_us)+1.11</calculatedColumnFormula>
    </tableColumn>
    <tableColumn id="14" xr3:uid="{446ABC94-58FD-4030-A874-C8738B8DF15E}" name="PSD_ZOH_ds" dataDxfId="37">
      <calculatedColumnFormula>20*LOG10(ABS(SIN(PI()*Masks[[#This Row],[f]]/Config!$B$41/2000000000)/(PI()*Masks[[#This Row],[f]]/Config!$B$41/2000000000)))+Tx_power_ds-10*LOG10(F_Nyquist_ds)+1.11</calculatedColumnFormula>
    </tableColumn>
    <tableColumn id="18" xr3:uid="{EE5A7174-4D69-477C-AA5F-F726DA8151C9}" name="Butterworth_us" dataDxfId="36">
      <calculatedColumnFormula>10*LOG10(1/(1+(Masks[[#This Row],[f]]/Config!$B$41/1000000000)^6))+Tx_power_us-10*LOG10(F_Nyquist_us)+0.45</calculatedColumnFormula>
    </tableColumn>
    <tableColumn id="16" xr3:uid="{16497C4D-A1A2-4C03-8455-322DB05BA630}" name="Butterworth_ds" dataDxfId="35">
      <calculatedColumnFormula>10*LOG10(1/(1+(Masks[[#This Row],[f]]/Config!$C$41/1000000000)^6))+Tx_power_ds-10*LOG10(F_Nyquist_ds)+0.45</calculatedColumnFormula>
    </tableColumn>
    <tableColumn id="8" xr3:uid="{9E72FDE4-2532-4D5A-A3A2-D6A5B71B12DB}" name="Inband_us" dataDxfId="34">
      <calculatedColumnFormula>IF(Masks[[#This Row],[f]]&gt;F_Nyquist_us,0,1)</calculatedColumnFormula>
    </tableColumn>
    <tableColumn id="9" xr3:uid="{029EF081-4008-4A2A-ADDE-5C8960154A2C}" name="Inband_ds" dataDxfId="33">
      <calculatedColumnFormula>IF(Masks[[#This Row],[f]]&gt;F_Nyquist_ds,0,1)</calculatedColumnFormula>
    </tableColumn>
    <tableColumn id="10" xr3:uid="{3EEA3C4E-028B-4898-ACBB-FD7C6CF28D71}" name="wire_echo" dataDxfId="32">
      <calculatedColumnFormula>Config!B$40</calculatedColumnFormula>
    </tableColumn>
    <tableColumn id="11" xr3:uid="{464684BA-24AF-4369-A32B-0BDC6F6558DC}" name="connector_echo" dataDxfId="31">
      <calculatedColumnFormula>IF(Config!B$8&gt;0,10*LOG10($X$1*Masks[[#This Row],[f]]+Config!B$8*0.00073),-1000)</calculatedColumnFormula>
    </tableColumn>
    <tableColumn id="12" xr3:uid="{EC286D06-D00B-4B41-AC6E-CAAE5E3FEEEE}" name="channel_echo" dataDxfId="30">
      <calculatedColumnFormula>10*LOG10((10^(Masks[[#This Row],[wire_echo]]/10))+(10^(Masks[[#This Row],[connector_echo]]/10)))</calculatedColumnFormula>
    </tableColumn>
    <tableColumn id="17" xr3:uid="{B2364BD0-4571-4F0D-910A-68696E4077DA}" name="Custom_us" dataDxfId="29">
      <calculatedColumnFormula>20*LOG10(ABS(SIN(PI()*Masks[[#This Row],[f]]/Config!$B$41/2000000000)/(PI()*Masks[[#This Row],[f]]/Config!$B$41/2000000000)))+Masks[[#This Row],[PSD_brick_ds]]+2.6</calculatedColumnFormula>
    </tableColumn>
    <tableColumn id="13" xr3:uid="{555E47B3-43A5-4072-BC08-D67465295425}" name="Custom_ds" dataDxfId="28">
      <calculatedColumnFormula>20*LOG10(ABS(SIN(PI()*Masks[[#This Row],[f]]/Config!$B$41/2000000000)/(PI()*Masks[[#This Row],[f]]/Config!$B$41/2000000000)))+Masks[[#This Row],[PSD_brick_us]]+2.6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535D72-2D58-43C0-8339-88F56DC85C9F}" name="ConnectorEcho" displayName="ConnectorEcho" ref="W4:X8" totalsRowShown="0">
  <autoFilter ref="W4:X8" xr:uid="{C3251E75-74D3-4CFD-AEB7-F35179D916B7}"/>
  <tableColumns count="2">
    <tableColumn id="1" xr3:uid="{CCDF71F4-4CCC-44A8-B8AD-7B9FCA4937A8}" name="Difficulty "/>
    <tableColumn id="2" xr3:uid="{56E3B64D-632C-416B-8B25-B47492AF751A}" name="C0 Valu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825DC4C-A972-44EF-B2D4-C9424A58E05B}" name="WireReflection" displayName="WireReflection" ref="W13:X17" totalsRowShown="0">
  <autoFilter ref="W13:X17" xr:uid="{9E56944B-8D2E-4FD7-8CF5-E1BA417E0540}"/>
  <tableColumns count="2">
    <tableColumn id="1" xr3:uid="{8DACF56A-BDCC-4813-BC1F-0B3C2146FD52}" name="Reference"/>
    <tableColumn id="2" xr3:uid="{45F790EE-E00D-4797-A13D-63C29012B809}" name="Value">
      <calculatedColumnFormula>MIN(-35,-Config!B41-15)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CD5A283-1BFC-41C4-B259-3718F378D63C}" name="Table6" displayName="Table6" ref="W21:W25" totalsRowShown="0">
  <autoFilter ref="W21:W25" xr:uid="{A4BDA440-0160-4508-953A-A5EB473BEED3}"/>
  <tableColumns count="1">
    <tableColumn id="1" xr3:uid="{FE0F9262-94B5-46CA-9044-E40B39EC6FD8}" name="PSD Mask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BE8F65C-94C9-4BF4-A105-B36484C3A541}" name="Channels_IL" displayName="Channels_IL" ref="E1:S201" totalsRowShown="0">
  <autoFilter ref="E1:S201" xr:uid="{9F96466D-1397-4B19-8999-A09F9699BD3D}"/>
  <tableColumns count="15">
    <tableColumn id="4" xr3:uid="{0D981EB8-359B-47BF-8B5A-C76E3395C952}" name="eq149-18" dataDxfId="27">
      <calculatedColumnFormula>V$3*(((1+V$5*(T-20))*$A2)^V$4) + V$2*$A2</calculatedColumnFormula>
    </tableColumn>
    <tableColumn id="2" xr3:uid="{DF4C0E77-B554-43E9-8459-906DFF9931BC}" name="mueller_3cy_01_10_14_20_target" dataDxfId="26">
      <calculatedColumnFormula>W$3*(((1+W$5*(T-20))*$A2)^W$4) + W$2*$A2</calculatedColumnFormula>
    </tableColumn>
    <tableColumn id="5" xr3:uid="{202A02A3-AB72-4DA6-A1AC-4977D1F3F395}" name="boyer_3cy_01_10_14_20_c1" dataDxfId="25">
      <calculatedColumnFormula>X$3*(((1+X$5*(T-20))*$A2)^X$4) + X$2*$A2</calculatedColumnFormula>
    </tableColumn>
    <tableColumn id="6" xr3:uid="{4C1D9859-7092-49A6-9A1E-FFA607F3A98D}" name="patel_3cy_01_0920" dataDxfId="24">
      <calculatedColumnFormula>Y$3*(((1+Y$5*(T-20))*$A2)^Y$4) + Y$2*$A2</calculatedColumnFormula>
    </tableColumn>
    <tableColumn id="7" xr3:uid="{024CCD4A-6257-432C-B016-7386DE27E6D7}" name="zimmerman_3cy_01a_1120" dataDxfId="23">
      <calculatedColumnFormula>Z$3*(((1+Z$5*(T-20))*$A2)^Z$4) + Z$2*$A2</calculatedColumnFormula>
    </tableColumn>
    <tableColumn id="8" xr3:uid="{4BDE14FF-5F33-48F7-9101-71611BC0CA0E}" name="mueller_3cy_01_12_01_20_sdp" dataDxfId="22">
      <calculatedColumnFormula>AA$3*(((1+AA$5*(T-20))*$A2)^AA$4) + AA$2*$A2</calculatedColumnFormula>
    </tableColumn>
    <tableColumn id="10" xr3:uid="{F072BE7D-CEDB-4B14-9CBF-3612B3EF9203}" name="mueller_3cy_01_12_01_20_stp" dataDxfId="21">
      <calculatedColumnFormula>AB$3*(((1+AB$5*(T-20))*$A2)^AB$4) + AB$2*$A2</calculatedColumnFormula>
    </tableColumn>
    <tableColumn id="15" xr3:uid="{090EAF65-809C-43D9-8761-EE68A8E2DA4F}" name="koeppendoerfer_3cy_01_10_28_20_sdp3" dataDxfId="2">
      <calculatedColumnFormula>AC$3*(((1+AC$5*(T-20))*$A2)^AC$4) + AC$2*$A2</calculatedColumnFormula>
    </tableColumn>
    <tableColumn id="9" xr3:uid="{8653EFA6-2531-4D1E-BA64-41C27F1D3195}" name="neulinger_3cy_01_12_15_20" dataDxfId="20">
      <calculatedColumnFormula>AD$3*(((1+AD$5*(T-20))*$A2)^AD$4) + AD$2*$A2</calculatedColumnFormula>
    </tableColumn>
    <tableColumn id="13" xr3:uid="{D369E6D9-4964-4A78-A60F-C2F737F2C467}" name="diminico_3cy_01a_1_5_21_26awg" dataDxfId="19">
      <calculatedColumnFormula>AE$3*(((1+AE$5*(T-20))*$A2)^AE$4) + AE$2*$A2</calculatedColumnFormula>
    </tableColumn>
    <tableColumn id="14" xr3:uid="{6AC16E5F-02D9-45BB-8444-BAFB9A9D9E83}" name="diminico_3cy_01a_1_5_21_28awg" dataDxfId="18">
      <calculatedColumnFormula>AF$3*(((1+AF$5*(T-20))*$A2)^AF$4) + AF$2*$A2</calculatedColumnFormula>
    </tableColumn>
    <tableColumn id="12" xr3:uid="{1190D9FA-B87F-49B8-9E2C-9E4582CD77A1}" name="none" dataDxfId="17"/>
    <tableColumn id="11" xr3:uid="{CF1ACAE0-40B9-435C-B54A-96C9DEE6BE2F}" name="pcb_kadry_3cy_02_0820" dataDxfId="16">
      <calculatedColumnFormula>AG$3*(((1+AG$5*(T-20))*$A2)^AG$4) + AG$2*$A2</calculatedColumnFormula>
    </tableColumn>
    <tableColumn id="3" xr3:uid="{06CEA744-64F3-400F-BEE0-42B464D31A7E}" name="Column1" dataDxfId="15">
      <calculatedColumnFormula>AH$3*(((1+AH$5*(T-20))*$A2)^AH$4) + AH$2*$A2</calculatedColumnFormula>
    </tableColumn>
    <tableColumn id="1" xr3:uid="{0781E214-97D6-4C49-8CDB-ADE6124284C6}" name="Column2" dataDxfId="1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F5DB64-A1A0-4215-993A-7C58A94C1634}" name="Table1" displayName="Table1" ref="U1:AI5" totalsRowShown="0">
  <autoFilter ref="U1:AI5" xr:uid="{0A60E063-BC71-49B8-9CB5-FAB2DF825B70}"/>
  <tableColumns count="15">
    <tableColumn id="1" xr3:uid="{D95BA9C6-AB76-4AA7-BD29-9C88848AA4B6}" name="Parameters"/>
    <tableColumn id="5" xr3:uid="{97CB715A-9B00-4FC8-9B49-6462BEF8B8E3}" name="eq149-18" dataDxfId="13">
      <calculatedColumnFormula>-0.68/15</calculatedColumnFormula>
    </tableColumn>
    <tableColumn id="2" xr3:uid="{5230AA7C-32C8-4CFB-957A-D58CC6310268}" name="mueller_3cy_01_10_14_20_target" dataDxfId="12"/>
    <tableColumn id="3" xr3:uid="{F56341B1-4AFE-4F4D-A66E-D0A29429A29D}" name="boyer_3cy_01_10_14_20_c1" dataDxfId="11"/>
    <tableColumn id="4" xr3:uid="{1ABD9491-D040-42A7-BAE5-CD687314FA6D}" name="patel_3cy_01_0920" dataDxfId="10"/>
    <tableColumn id="8" xr3:uid="{49A575F5-57C7-4116-BFDE-40F55B40BABB}" name="zimmerman_3cy_01a_1120" dataDxfId="9"/>
    <tableColumn id="9" xr3:uid="{672548F3-480D-4E93-B55B-29FBB5AB0084}" name="mueller_3cy_01_12_01_20_sdp"/>
    <tableColumn id="11" xr3:uid="{86BDEC73-F8E6-4339-B565-751EB0034BBB}" name="mueller_3cy_01_12_01_20_stp"/>
    <tableColumn id="15" xr3:uid="{975A07BA-A377-46BF-A71F-B78CEC2D0DDC}" name="koeppendoerfer_3cy_01_10_28_20_sdp3"/>
    <tableColumn id="10" xr3:uid="{2DFD67F4-F3F8-48D1-989E-61F85FDE5EB5}" name="neulinger_3cy_01_12_15_20"/>
    <tableColumn id="13" xr3:uid="{5AD88BC6-FE26-4DE5-9BA9-8CBF36C4A0FC}" name="diminico_3cy_01a_1_5_21_26awg"/>
    <tableColumn id="14" xr3:uid="{546DAC6A-73EC-4C85-B25D-215E7D6BCF2B}" name="diminico_3cy_01a_1_5_21_28awg"/>
    <tableColumn id="12" xr3:uid="{8D0475CF-AE5B-4A7A-9427-B04A0A0CBD20}" name="kadry_3cy_02_0820" dataDxfId="8">
      <calculatedColumnFormula>2*0.0000000979</calculatedColumnFormula>
    </tableColumn>
    <tableColumn id="7" xr3:uid="{CD0C7689-726F-4ED3-90C8-87C9F5FE5452}" name="Column1" dataDxfId="7"/>
    <tableColumn id="6" xr3:uid="{EDBEE414-3E78-4809-872B-D16505338BAD}" name="Column2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339B-BBD5-4D48-8B65-3A0755FA1393}">
  <dimension ref="A1:B100"/>
  <sheetViews>
    <sheetView tabSelected="1" workbookViewId="0">
      <selection activeCell="A2" sqref="A2:B2"/>
    </sheetView>
  </sheetViews>
  <sheetFormatPr defaultRowHeight="15" x14ac:dyDescent="0.25"/>
  <cols>
    <col min="1" max="1" width="27" customWidth="1"/>
    <col min="2" max="2" width="112.7109375" customWidth="1"/>
  </cols>
  <sheetData>
    <row r="1" spans="1:2" ht="30" customHeight="1" x14ac:dyDescent="0.25">
      <c r="A1" s="97" t="s">
        <v>209</v>
      </c>
      <c r="B1" s="97"/>
    </row>
    <row r="2" spans="1:2" ht="180" customHeight="1" x14ac:dyDescent="0.25">
      <c r="A2" s="98"/>
      <c r="B2" s="98"/>
    </row>
    <row r="3" spans="1:2" ht="36.75" customHeight="1" thickBot="1" x14ac:dyDescent="0.3">
      <c r="A3" s="101" t="s">
        <v>83</v>
      </c>
      <c r="B3" s="101"/>
    </row>
    <row r="4" spans="1:2" ht="36.75" customHeight="1" thickBot="1" x14ac:dyDescent="0.6">
      <c r="A4" s="99" t="s">
        <v>99</v>
      </c>
      <c r="B4" s="99"/>
    </row>
    <row r="5" spans="1:2" ht="36.75" customHeight="1" thickBot="1" x14ac:dyDescent="0.6">
      <c r="A5" s="100" t="s">
        <v>101</v>
      </c>
      <c r="B5" s="100"/>
    </row>
    <row r="100" spans="1:2" x14ac:dyDescent="0.25">
      <c r="A100" s="55" t="s">
        <v>102</v>
      </c>
      <c r="B100" s="56" t="s">
        <v>103</v>
      </c>
    </row>
  </sheetData>
  <sheetProtection algorithmName="SHA-512" hashValue="GmBLNV5QS2rHUwjG1btv7G9qjxwNryNOFvDxf8nsmUYerTRb3u3Vd8n6Qfy55N3irQHqkEt6nvD1gguBulRTMw==" saltValue="Cmqt3Xcu/ujbGD74xVcOZg==" spinCount="100000" sheet="1" objects="1" scenarios="1"/>
  <mergeCells count="5">
    <mergeCell ref="A1:B1"/>
    <mergeCell ref="A2:B2"/>
    <mergeCell ref="A4:B4"/>
    <mergeCell ref="A5:B5"/>
    <mergeCell ref="A3:B3"/>
  </mergeCells>
  <hyperlinks>
    <hyperlink ref="A4:B4" location="Config!A1" display="Go to &quot;Config&quot; tab to start using this spreadsheet." xr:uid="{AF2D7D29-8B78-455D-8A89-5E7F33A5BC83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46B79-E840-44A8-8B91-143FAF146CD6}">
  <sheetPr>
    <pageSetUpPr fitToPage="1"/>
  </sheetPr>
  <dimension ref="A1:T57"/>
  <sheetViews>
    <sheetView zoomScale="80" zoomScaleNormal="80" workbookViewId="0">
      <selection activeCell="C44" sqref="C44"/>
    </sheetView>
  </sheetViews>
  <sheetFormatPr defaultRowHeight="15" x14ac:dyDescent="0.25"/>
  <cols>
    <col min="1" max="1" width="38.85546875" customWidth="1"/>
    <col min="2" max="3" width="14.7109375" customWidth="1"/>
    <col min="4" max="4" width="5" customWidth="1"/>
    <col min="5" max="7" width="9.140625" customWidth="1"/>
    <col min="12" max="12" width="2.85546875" customWidth="1"/>
  </cols>
  <sheetData>
    <row r="1" spans="1:20" ht="21.75" thickBot="1" x14ac:dyDescent="0.4">
      <c r="A1" s="106" t="str">
        <f>Info!A1</f>
        <v>jonsson_3cy_01_01_12_21 - Channel Capacity Calculator Version 1.3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</row>
    <row r="2" spans="1:20" ht="15.75" thickBot="1" x14ac:dyDescent="0.3">
      <c r="A2" s="24"/>
      <c r="B2" s="70" t="s">
        <v>60</v>
      </c>
      <c r="C2" s="71" t="s">
        <v>61</v>
      </c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5"/>
      <c r="T2" s="9"/>
    </row>
    <row r="3" spans="1:20" x14ac:dyDescent="0.25">
      <c r="A3" s="78" t="s">
        <v>138</v>
      </c>
      <c r="B3" s="66"/>
      <c r="C3" s="67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6"/>
      <c r="T3" s="9"/>
    </row>
    <row r="4" spans="1:20" x14ac:dyDescent="0.25">
      <c r="A4" s="16" t="s">
        <v>88</v>
      </c>
      <c r="B4" s="46">
        <v>25</v>
      </c>
      <c r="C4" s="47">
        <v>25</v>
      </c>
      <c r="D4" s="82"/>
      <c r="E4" s="82"/>
      <c r="F4" s="83"/>
      <c r="G4" s="83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6"/>
      <c r="T4" s="9"/>
    </row>
    <row r="5" spans="1:20" x14ac:dyDescent="0.25">
      <c r="A5" s="16" t="s">
        <v>39</v>
      </c>
      <c r="B5" s="48">
        <v>9.9999999999999998E-13</v>
      </c>
      <c r="C5" s="72">
        <f t="shared" ref="C5:C8" si="0">B5</f>
        <v>9.9999999999999998E-13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6"/>
      <c r="T5" s="9"/>
    </row>
    <row r="6" spans="1:20" x14ac:dyDescent="0.25">
      <c r="A6" s="16" t="s">
        <v>50</v>
      </c>
      <c r="B6" s="95">
        <v>11</v>
      </c>
      <c r="C6" s="96">
        <f>B6</f>
        <v>11</v>
      </c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6"/>
      <c r="T6" s="9"/>
    </row>
    <row r="7" spans="1:20" x14ac:dyDescent="0.25">
      <c r="A7" s="16" t="s">
        <v>117</v>
      </c>
      <c r="B7" s="80" t="s">
        <v>140</v>
      </c>
      <c r="C7" s="81" t="str">
        <f t="shared" si="0"/>
        <v>jonsson*12_08_20</v>
      </c>
      <c r="D7" s="89" t="s">
        <v>141</v>
      </c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6"/>
      <c r="T7" s="9"/>
    </row>
    <row r="8" spans="1:20" x14ac:dyDescent="0.25">
      <c r="A8" s="16" t="s">
        <v>70</v>
      </c>
      <c r="B8" s="46">
        <v>4</v>
      </c>
      <c r="C8" s="47">
        <f t="shared" si="0"/>
        <v>4</v>
      </c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6"/>
      <c r="T8" s="9"/>
    </row>
    <row r="9" spans="1:20" x14ac:dyDescent="0.25">
      <c r="A9" s="77" t="s">
        <v>57</v>
      </c>
      <c r="B9" s="64"/>
      <c r="C9" s="65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6"/>
      <c r="T9" s="9"/>
    </row>
    <row r="10" spans="1:20" x14ac:dyDescent="0.25">
      <c r="A10" s="16" t="s">
        <v>38</v>
      </c>
      <c r="B10" s="46">
        <v>4</v>
      </c>
      <c r="C10" s="47">
        <v>4</v>
      </c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6"/>
      <c r="T10" s="9"/>
    </row>
    <row r="11" spans="1:20" x14ac:dyDescent="0.25">
      <c r="A11" s="16" t="s">
        <v>40</v>
      </c>
      <c r="B11" s="46">
        <v>360</v>
      </c>
      <c r="C11" s="47">
        <f t="shared" ref="C11:C14" si="1">B11</f>
        <v>360</v>
      </c>
      <c r="D11" s="82"/>
      <c r="E11" s="82"/>
      <c r="F11" s="83"/>
      <c r="G11" s="83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6"/>
      <c r="T11" s="9"/>
    </row>
    <row r="12" spans="1:20" x14ac:dyDescent="0.25">
      <c r="A12" s="16" t="s">
        <v>82</v>
      </c>
      <c r="B12" s="46">
        <v>326</v>
      </c>
      <c r="C12" s="47">
        <f t="shared" si="1"/>
        <v>326</v>
      </c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6"/>
      <c r="T12" s="9"/>
    </row>
    <row r="13" spans="1:20" x14ac:dyDescent="0.25">
      <c r="A13" s="16" t="s">
        <v>96</v>
      </c>
      <c r="B13" s="49">
        <v>1</v>
      </c>
      <c r="C13" s="50">
        <f t="shared" si="1"/>
        <v>1</v>
      </c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6"/>
      <c r="T13" s="9"/>
    </row>
    <row r="14" spans="1:20" x14ac:dyDescent="0.25">
      <c r="A14" s="16" t="s">
        <v>41</v>
      </c>
      <c r="B14" s="46">
        <v>10</v>
      </c>
      <c r="C14" s="47">
        <f t="shared" si="1"/>
        <v>10</v>
      </c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6"/>
      <c r="T14" s="9"/>
    </row>
    <row r="15" spans="1:20" x14ac:dyDescent="0.25">
      <c r="A15" s="16" t="s">
        <v>71</v>
      </c>
      <c r="B15" s="51">
        <v>1</v>
      </c>
      <c r="C15" s="51">
        <v>1</v>
      </c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6"/>
      <c r="T15" s="9"/>
    </row>
    <row r="16" spans="1:20" x14ac:dyDescent="0.25">
      <c r="A16" s="60" t="s">
        <v>109</v>
      </c>
      <c r="B16" s="62">
        <v>1.8749999999999999E-2</v>
      </c>
      <c r="C16" s="63">
        <f>B16</f>
        <v>1.8749999999999999E-2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6"/>
      <c r="T16" s="9"/>
    </row>
    <row r="17" spans="1:20" x14ac:dyDescent="0.25">
      <c r="A17" s="77" t="s">
        <v>58</v>
      </c>
      <c r="B17" s="68"/>
      <c r="C17" s="69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6"/>
      <c r="T17" s="9"/>
    </row>
    <row r="18" spans="1:20" x14ac:dyDescent="0.25">
      <c r="A18" s="16" t="s">
        <v>51</v>
      </c>
      <c r="B18" s="46" t="s">
        <v>125</v>
      </c>
      <c r="C18" s="47" t="s">
        <v>125</v>
      </c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6"/>
      <c r="T18" s="9"/>
    </row>
    <row r="19" spans="1:20" x14ac:dyDescent="0.25">
      <c r="A19" s="16" t="s">
        <v>52</v>
      </c>
      <c r="B19" s="46">
        <v>0</v>
      </c>
      <c r="C19" s="47">
        <v>0</v>
      </c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6"/>
      <c r="T19" s="9"/>
    </row>
    <row r="20" spans="1:20" x14ac:dyDescent="0.25">
      <c r="A20" s="77" t="s">
        <v>84</v>
      </c>
      <c r="B20" s="68"/>
      <c r="C20" s="69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6"/>
      <c r="T20" s="9"/>
    </row>
    <row r="21" spans="1:20" x14ac:dyDescent="0.25">
      <c r="A21" s="16" t="s">
        <v>42</v>
      </c>
      <c r="B21" s="48">
        <v>1E-4</v>
      </c>
      <c r="C21" s="72">
        <f t="shared" ref="C21" si="2">B21</f>
        <v>1E-4</v>
      </c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6"/>
      <c r="T21" s="9"/>
    </row>
    <row r="22" spans="1:20" x14ac:dyDescent="0.25">
      <c r="A22" s="16" t="s">
        <v>107</v>
      </c>
      <c r="B22" s="46">
        <v>-140</v>
      </c>
      <c r="C22" s="47">
        <f>AFE_noise_us</f>
        <v>-140</v>
      </c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6"/>
      <c r="T22" s="9"/>
    </row>
    <row r="23" spans="1:20" x14ac:dyDescent="0.25">
      <c r="A23" s="16" t="s">
        <v>54</v>
      </c>
      <c r="B23" s="46">
        <v>6</v>
      </c>
      <c r="C23" s="47">
        <v>6</v>
      </c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6"/>
      <c r="T23" s="9"/>
    </row>
    <row r="24" spans="1:20" x14ac:dyDescent="0.25">
      <c r="A24" s="16" t="s">
        <v>55</v>
      </c>
      <c r="B24" s="51">
        <v>1</v>
      </c>
      <c r="C24" s="50">
        <f>EC_conector_ratio_us</f>
        <v>1</v>
      </c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6"/>
      <c r="T24" s="9"/>
    </row>
    <row r="25" spans="1:20" x14ac:dyDescent="0.25">
      <c r="A25" s="16" t="s">
        <v>56</v>
      </c>
      <c r="B25" s="46">
        <v>5</v>
      </c>
      <c r="C25" s="47">
        <v>5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6"/>
      <c r="T25" s="9"/>
    </row>
    <row r="26" spans="1:20" x14ac:dyDescent="0.25">
      <c r="A26" s="77" t="s">
        <v>59</v>
      </c>
      <c r="B26" s="68"/>
      <c r="C26" s="69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6"/>
      <c r="T26" s="9"/>
    </row>
    <row r="27" spans="1:20" x14ac:dyDescent="0.25">
      <c r="A27" s="16" t="s">
        <v>72</v>
      </c>
      <c r="B27" s="102" t="s">
        <v>110</v>
      </c>
      <c r="C27" s="103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6"/>
      <c r="T27" s="9"/>
    </row>
    <row r="28" spans="1:20" x14ac:dyDescent="0.25">
      <c r="A28" s="16" t="s">
        <v>118</v>
      </c>
      <c r="B28" s="102" t="s">
        <v>120</v>
      </c>
      <c r="C28" s="103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6"/>
      <c r="T28" s="9"/>
    </row>
    <row r="29" spans="1:20" x14ac:dyDescent="0.25">
      <c r="A29" s="16" t="s">
        <v>145</v>
      </c>
      <c r="B29" s="102">
        <v>7.6200000000000004E-2</v>
      </c>
      <c r="C29" s="103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6"/>
      <c r="T29" s="9"/>
    </row>
    <row r="30" spans="1:20" x14ac:dyDescent="0.25">
      <c r="A30" s="16" t="s">
        <v>75</v>
      </c>
      <c r="B30" s="102" t="s">
        <v>79</v>
      </c>
      <c r="C30" s="103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6"/>
      <c r="T30" s="9"/>
    </row>
    <row r="31" spans="1:20" x14ac:dyDescent="0.25">
      <c r="A31" s="61" t="s">
        <v>108</v>
      </c>
      <c r="B31" s="102">
        <v>20</v>
      </c>
      <c r="C31" s="103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6"/>
      <c r="T31" s="9"/>
    </row>
    <row r="32" spans="1:20" ht="15.75" thickBot="1" x14ac:dyDescent="0.3">
      <c r="A32" s="17" t="s">
        <v>95</v>
      </c>
      <c r="B32" s="104">
        <v>9000000000</v>
      </c>
      <c r="C32" s="105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6"/>
      <c r="T32" s="9"/>
    </row>
    <row r="33" spans="1:20" ht="15.75" thickBot="1" x14ac:dyDescent="0.3">
      <c r="A33" s="90"/>
      <c r="B33" s="91"/>
      <c r="C33" s="91"/>
      <c r="D33" s="9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6"/>
      <c r="T33" s="9"/>
    </row>
    <row r="34" spans="1:20" ht="15.75" thickBot="1" x14ac:dyDescent="0.3">
      <c r="A34" s="57" t="s">
        <v>85</v>
      </c>
      <c r="B34" s="58"/>
      <c r="C34" s="59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6"/>
      <c r="T34" s="9"/>
    </row>
    <row r="35" spans="1:20" x14ac:dyDescent="0.25">
      <c r="A35" s="34"/>
      <c r="B35" s="35" t="str">
        <f>B2</f>
        <v>Upstream</v>
      </c>
      <c r="C35" s="36" t="str">
        <f>C2</f>
        <v>Downstream</v>
      </c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6"/>
      <c r="T35" s="9"/>
    </row>
    <row r="36" spans="1:20" x14ac:dyDescent="0.25">
      <c r="A36" s="18" t="s">
        <v>68</v>
      </c>
      <c r="B36" s="14">
        <f>SUMPRODUCT(Masks[Inband_us],Calculate[SNRdB_us],Calculate[dF])/F_Nyquist_us</f>
        <v>22.507701141866214</v>
      </c>
      <c r="C36" s="19">
        <f>SUMPRODUCT(Masks[Inband_ds],Calculate[SNRdB_ds],Calculate[dF])/F_Nyquist_ds</f>
        <v>22.507701141866214</v>
      </c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6"/>
      <c r="T36" s="9"/>
    </row>
    <row r="37" spans="1:20" x14ac:dyDescent="0.25">
      <c r="A37" s="18" t="s">
        <v>69</v>
      </c>
      <c r="B37" s="14">
        <f>B36-B25</f>
        <v>17.507701141866214</v>
      </c>
      <c r="C37" s="19">
        <f>C36-C25</f>
        <v>17.507701141866214</v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6"/>
      <c r="T37" s="9"/>
    </row>
    <row r="38" spans="1:20" x14ac:dyDescent="0.25">
      <c r="A38" s="18" t="s">
        <v>86</v>
      </c>
      <c r="B38" s="14">
        <f>req_SNR_us</f>
        <v>17.20188415184953</v>
      </c>
      <c r="C38" s="19">
        <f>req_SNR_ds</f>
        <v>17.20188415184953</v>
      </c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6"/>
      <c r="T38" s="9"/>
    </row>
    <row r="39" spans="1:20" x14ac:dyDescent="0.25">
      <c r="A39" s="18" t="s">
        <v>67</v>
      </c>
      <c r="B39" s="15">
        <f>B37-B38</f>
        <v>0.30581699001668383</v>
      </c>
      <c r="C39" s="20">
        <f>C37-C38</f>
        <v>0.30581699001668383</v>
      </c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6"/>
      <c r="T39" s="9"/>
    </row>
    <row r="40" spans="1:20" x14ac:dyDescent="0.25">
      <c r="A40" s="18" t="s">
        <v>53</v>
      </c>
      <c r="B40" s="14">
        <f>Masks!$X$12</f>
        <v>-41.640813746660612</v>
      </c>
      <c r="C40" s="19">
        <f>B40</f>
        <v>-41.640813746660612</v>
      </c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6"/>
      <c r="T40" s="9"/>
    </row>
    <row r="41" spans="1:20" x14ac:dyDescent="0.25">
      <c r="A41" s="26" t="s">
        <v>87</v>
      </c>
      <c r="B41" s="14">
        <f>F_Nyquist_us/1000000000</f>
        <v>7.0312500000000009</v>
      </c>
      <c r="C41" s="19">
        <f>F_Nyquist_ds/1000000000</f>
        <v>7.0312500000000009</v>
      </c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6"/>
      <c r="T41" s="9"/>
    </row>
    <row r="42" spans="1:20" x14ac:dyDescent="0.25">
      <c r="A42" s="74" t="s">
        <v>123</v>
      </c>
      <c r="B42" s="75">
        <f>-VLOOKUP(F_Nyquist_us,Calculate!$A:$F,5)</f>
        <v>28.988736798729636</v>
      </c>
      <c r="C42" s="76">
        <f>-VLOOKUP(F_Nyquist_ds,Calculate!$A:$F,5)</f>
        <v>28.988736798729636</v>
      </c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6"/>
      <c r="T42" s="9"/>
    </row>
    <row r="43" spans="1:20" ht="15.75" thickBot="1" x14ac:dyDescent="0.3">
      <c r="A43" s="21" t="s">
        <v>124</v>
      </c>
      <c r="B43" s="22">
        <f>-VLOOKUP(F_Nyquist_us,Calculate!$A:$E,3)</f>
        <v>26.640813746660616</v>
      </c>
      <c r="C43" s="23">
        <f>-VLOOKUP(F_Nyquist_ds,Calculate!$A:$E,3)</f>
        <v>26.640813746660616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8"/>
      <c r="T43" s="9"/>
    </row>
    <row r="44" spans="1:20" x14ac:dyDescent="0.25">
      <c r="T44" s="9"/>
    </row>
    <row r="49" spans="2:3" x14ac:dyDescent="0.25">
      <c r="B49" s="2"/>
      <c r="C49" s="2"/>
    </row>
    <row r="50" spans="2:3" x14ac:dyDescent="0.25">
      <c r="B50" s="2"/>
      <c r="C50" s="2"/>
    </row>
    <row r="53" spans="2:3" x14ac:dyDescent="0.25">
      <c r="B53" s="2"/>
      <c r="C53" s="2"/>
    </row>
    <row r="54" spans="2:3" x14ac:dyDescent="0.25">
      <c r="B54" s="2"/>
      <c r="C54" s="2"/>
    </row>
    <row r="56" spans="2:3" x14ac:dyDescent="0.25">
      <c r="B56" s="2"/>
      <c r="C56" s="2"/>
    </row>
    <row r="57" spans="2:3" x14ac:dyDescent="0.25">
      <c r="B57" s="2"/>
      <c r="C57" s="2"/>
    </row>
  </sheetData>
  <sheetProtection algorithmName="SHA-512" hashValue="O75j2RXsF8vwmoP3PNC9KYFji5fE61yOzmdAvA36TTwQDtnWbruJvT1jlfmppZShiexjPPfdtV8MLja09j1mTg==" saltValue="AuNou2MlNq3oc6BrluLSpA==" spinCount="100000" sheet="1" objects="1" scenarios="1"/>
  <scenarios current="0" show="0" sqref="B39:C39">
    <scenario name="Case1" count="32" user="Ragnar Jonsson" comment="Created by Ragnar Jonsson on 1/7/2021_x000a__x000a_Modified by Ragnar Jonsson on 1/10/2021">
      <inputCells r="C4" val="25"/>
      <inputCells r="B4" val="25"/>
      <inputCells r="B5" val="0.000000000001" numFmtId="11"/>
      <inputCells r="B6" val="11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mueller_3cy_01_12_01_20_sdp"/>
      <inputCells r="B28" val="pcb_kadry_3cy_02_0820"/>
      <inputCells r="B29" val="0.0762"/>
      <inputCells r="B30" val="Hard"/>
      <inputCells r="B31" val="20"/>
      <inputCells r="B32" val="9000000000" numFmtId="11"/>
    </scenario>
    <scenario name="Case2" count="32" user="Ragnar Jonsson" comment="Created by Ragnar Jonsson on 1/7/2021_x000a_">
      <inputCells r="B4" val="25"/>
      <inputCells r="C4" val="25"/>
      <inputCells r="B5" val="0.000000000001" numFmtId="11"/>
      <inputCells r="B6" val="10.5"/>
      <inputCells r="B7" val="jonsson*12_08_20"/>
      <inputCells r="B8" val="4"/>
      <inputCells r="B10" val="4"/>
      <inputCells r="C10" val="4"/>
      <inputCells r="B11" val="360"/>
      <inputCells r="B12" val="326"/>
      <inputCells r="B13" val="1" numFmtId="9"/>
      <inputCells r="B14" val="10"/>
      <inputCells r="B15" val="1" numFmtId="9"/>
      <inputCells r="C15" val="1" numFmtId="9"/>
      <inputCells r="B16" val="0.01875" numFmtId="165"/>
      <inputCells r="B18" val="PSD_ZOH"/>
      <inputCells r="C18" val="PSD_ZOH"/>
      <inputCells r="B19" val="0"/>
      <inputCells r="C19" val="0"/>
      <inputCells r="B21" val="0.0001" numFmtId="11"/>
      <inputCells r="B22" val="-140"/>
      <inputCells r="B23" val="6"/>
      <inputCells r="C23" val="6"/>
      <inputCells r="B24" val="1" numFmtId="9"/>
      <inputCells r="B25" val="5"/>
      <inputCells r="C25" val="5"/>
      <inputCells r="B27" val="neulinger_3cy_01_12_15_20"/>
      <inputCells r="B28" val="pcb_kadry_3cy_02_0820"/>
      <inputCells r="B29" val="0.0762"/>
      <inputCells r="B30" val="Hard"/>
      <inputCells r="B31" val="20"/>
      <inputCells r="B32" val="9000000000" numFmtId="11"/>
    </scenario>
    <scenario name="Case3" count="32" user="Ragnar Jonsson" comment="Created by Ragnar Jonsson on 1/7/2021">
      <inputCells r="B4" val="25"/>
      <inputCells r="C4" val="25"/>
      <inputCells r="B5" val="0.000000000001" numFmtId="11"/>
      <inputCells r="B6" val="10" numFmtId="168"/>
      <inputCells r="B7" val="jonsson*12_08_20"/>
      <inputCells r="B8" val="4"/>
      <inputCells r="B10" val="4"/>
      <inputCells r="C10" val="4"/>
      <inputCells r="B11" val="360"/>
      <inputCells r="B12" val="326"/>
      <inputCells r="B13" val="1" numFmtId="9"/>
      <inputCells r="B14" val="10"/>
      <inputCells r="B15" val="1" numFmtId="9"/>
      <inputCells r="C15" val="1" numFmtId="9"/>
      <inputCells r="B16" val="0.01875" numFmtId="165"/>
      <inputCells r="B18" val="PSD_ZOH"/>
      <inputCells r="C18" val="PSD_ZOH"/>
      <inputCells r="B19" val="0"/>
      <inputCells r="C19" val="0"/>
      <inputCells r="B21" val="0.0001" numFmtId="11"/>
      <inputCells r="B22" val="-140"/>
      <inputCells r="B23" val="6"/>
      <inputCells r="C23" val="6"/>
      <inputCells r="B24" val="1" numFmtId="9"/>
      <inputCells r="B25" val="5"/>
      <inputCells r="C25" val="5"/>
      <inputCells r="B27" val="boyer_3cy_01_10_14_20_c1"/>
      <inputCells r="B28" val="pcb_kadry_3cy_02_0820"/>
      <inputCells r="B29" val="0.0762"/>
      <inputCells r="B30" val="Hard"/>
      <inputCells r="B31" val="20"/>
      <inputCells r="B32" val="9000000000" numFmtId="11"/>
    </scenario>
    <scenario name="Case4" count="32" user="Ragnar Jonsson" comment="Created by Ragnar Jonsson on 1/8/2021">
      <inputCells r="C4" val="25"/>
      <inputCells r="B4" val="25"/>
      <inputCells r="B5" val="0.000000000001" numFmtId="11"/>
      <inputCells r="B6" val="8.75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patel_3cy_01_0920"/>
      <inputCells r="B28" val="pcb_kadry_3cy_02_0820"/>
      <inputCells r="B29" val="0.0762"/>
      <inputCells r="B30" val="Hard"/>
      <inputCells r="B31" val="20"/>
      <inputCells r="B32" val="9000000000" numFmtId="11"/>
    </scenario>
    <scenario name="Case5" count="32" user="Ragnar Jonsson" comment="Created by Ragnar Jonsson on 1/8/2021_x000a_Modified by Ragnar Jonsson on 1/10/2021">
      <inputCells r="C4" val="25"/>
      <inputCells r="B4" val="25"/>
      <inputCells r="B5" val="0.000000000001" numFmtId="11"/>
      <inputCells r="B6" val="11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diminico_3cy_01a_1_5_21_26awg"/>
      <inputCells r="B28" val="pcb_kadry_3cy_02_0820"/>
      <inputCells r="B29" val="0.0762"/>
      <inputCells r="B30" val="Hard"/>
      <inputCells r="B31" val="20"/>
      <inputCells r="B32" val="9000000000" numFmtId="11"/>
    </scenario>
    <scenario name="Case6" count="32" user="Ragnar Jonsson" comment="Created by Ragnar Jonsson on 1/8/2021_x000a__x000a_Modified by Ragnar Jonsson on 1/8/2021">
      <inputCells r="C4" val="25"/>
      <inputCells r="B4" val="25"/>
      <inputCells r="B5" val="0.000000000001" numFmtId="11"/>
      <inputCells r="B6" val="8.15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mueller_3cy_01_12_01_20_stp"/>
      <inputCells r="B28" val="pcb_kadry_3cy_02_0820"/>
      <inputCells r="B29" val="0.0762"/>
      <inputCells r="B30" val="Hard"/>
      <inputCells r="B31" val="20"/>
      <inputCells r="B32" val="9000000000" numFmtId="11"/>
    </scenario>
    <scenario name="Case7" count="32" user="Ragnar Jonsson" comment="Created by Ragnar Jonsson on 1/8/2021">
      <inputCells r="C4" val="25"/>
      <inputCells r="B4" val="25"/>
      <inputCells r="B5" val="0.000000000001" numFmtId="11"/>
      <inputCells r="B6" val="10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diminico_3cy_01a_1_5_21_28awg"/>
      <inputCells r="B28" val="pcb_kadry_3cy_02_0820"/>
      <inputCells r="B29" val="0.0762"/>
      <inputCells r="B30" val="Hard"/>
      <inputCells r="B31" val="20"/>
      <inputCells r="B32" val="9000000000" numFmtId="11"/>
    </scenario>
    <scenario name="Case8" count="32" user="Ragnar Jonsson" comment="Created by Ragnar Jonsson on 1/10/2021_x000a_">
      <inputCells r="C4" val="25"/>
      <inputCells r="B4" val="25"/>
      <inputCells r="B5" val="0.000000000001" numFmtId="11"/>
      <inputCells r="B6" val="9.3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koeppendoerfer_3cy_01_10_28_20_sdp3"/>
      <inputCells r="B28" val="pcb_kadry_3cy_02_0820"/>
      <inputCells r="B29" val="0.0762"/>
      <inputCells r="B30" val="Hard"/>
      <inputCells r="B31" val="20"/>
      <inputCells r="B32" val="9000000000" numFmtId="11"/>
    </scenario>
    <scenario name="Case9" count="32" user="Ragnar Jonsson" comment="Created by Ragnar Jonsson on 1/10/2021">
      <inputCells r="C4" val="25"/>
      <inputCells r="B4" val="25"/>
      <inputCells r="B5" val="0.000000000001" numFmtId="11"/>
      <inputCells r="B6" val="11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eq149-18"/>
      <inputCells r="B28" val="pcb_kadry_3cy_02_0820"/>
      <inputCells r="B29" val="0.0762"/>
      <inputCells r="B30" val="Hard"/>
      <inputCells r="B31" val="20"/>
      <inputCells r="B32" val="9000000000" numFmtId="11"/>
    </scenario>
    <scenario name="Case10" count="32" user="Ragnar Jonsson" comment="Created by Ragnar Jonsson on 1/10/2021">
      <inputCells r="C4" val="25"/>
      <inputCells r="B4" val="25"/>
      <inputCells r="B5" val="0.000000000001" numFmtId="11"/>
      <inputCells r="B6" val="11" numFmtId="168"/>
      <inputCells r="B7" val="jonsson*12_08_20"/>
      <inputCells r="B8" val="4"/>
      <inputCells r="C10" val="4"/>
      <inputCells r="C15" val="1" numFmtId="9"/>
      <inputCells r="B10" val="4"/>
      <inputCells r="B11" val="360"/>
      <inputCells r="B12" val="326"/>
      <inputCells r="B13" val="1" numFmtId="9"/>
      <inputCells r="B14" val="10"/>
      <inputCells r="B15" val="1" numFmtId="9"/>
      <inputCells r="B16" val="0.01875" numFmtId="165"/>
      <inputCells r="B18" val="PSD_ZOH"/>
      <inputCells r="C18" val="PSD_ZOH"/>
      <inputCells r="B19" val="0"/>
      <inputCells r="C19" val="0"/>
      <inputCells r="C23" val="6"/>
      <inputCells r="B21" val="0.0001" numFmtId="11"/>
      <inputCells r="B22" val="-140"/>
      <inputCells r="B23" val="6"/>
      <inputCells r="B24" val="1" numFmtId="9"/>
      <inputCells r="B25" val="5"/>
      <inputCells r="C25" val="5"/>
      <inputCells r="B27" val="zimmerman_3cy_01a_1120"/>
      <inputCells r="B28" val="pcb_kadry_3cy_02_0820"/>
      <inputCells r="B29" val="0.0762"/>
      <inputCells r="B30" val="Hard"/>
      <inputCells r="B31" val="20"/>
      <inputCells r="B32" val="9000000000" numFmtId="11"/>
    </scenario>
  </scenarios>
  <mergeCells count="7">
    <mergeCell ref="B30:C30"/>
    <mergeCell ref="B32:C32"/>
    <mergeCell ref="A1:S1"/>
    <mergeCell ref="B27:C27"/>
    <mergeCell ref="B31:C31"/>
    <mergeCell ref="B28:C28"/>
    <mergeCell ref="B29:C29"/>
  </mergeCells>
  <dataValidations count="29">
    <dataValidation type="decimal" allowBlank="1" showInputMessage="1" showErrorMessage="1" prompt="The net required data rate" sqref="B4:C4" xr:uid="{E792EA5C-3B9D-4398-835E-913F2363AA23}">
      <formula1>0</formula1>
      <formula2>100</formula2>
    </dataValidation>
    <dataValidation type="decimal" allowBlank="1" showInputMessage="1" showErrorMessage="1" prompt="The bit error rate after Forward Error Correction" sqref="B5:C5" xr:uid="{837C98EF-3147-4AD7-A0B1-B8824DC97E6C}">
      <formula1>0</formula1>
      <formula2>1</formula2>
    </dataValidation>
    <dataValidation type="decimal" operator="greaterThanOrEqual" allowBlank="1" showInputMessage="1" showErrorMessage="1" prompt="The length of the cable to use in the calculations" sqref="B6:C6" xr:uid="{10F7F867-2138-403D-9197-92471D3190E5}">
      <formula1>0</formula1>
    </dataValidation>
    <dataValidation type="whole" operator="greaterThanOrEqual" allowBlank="1" showInputMessage="1" showErrorMessage="1" prompt="The total number of connectors, including end connectors and inline connectors " sqref="B8:C8" xr:uid="{F6D1790D-3BF1-45DE-A99B-DF54EEC3D766}">
      <formula1>0</formula1>
    </dataValidation>
    <dataValidation type="decimal" operator="notEqual" allowBlank="1" showInputMessage="1" showErrorMessage="1" prompt="The total transmit power at MDI" sqref="B19:C19" xr:uid="{F1182A00-9BF5-4CF3-B462-E4A0682519F5}">
      <formula1>100000000</formula1>
    </dataValidation>
    <dataValidation type="decimal" operator="greaterThanOrEqual" allowBlank="1" showInputMessage="1" showErrorMessage="1" prompt="The average temprature of the cable" sqref="B31:C31" xr:uid="{61F8E743-37C4-44DD-A838-AEA693FA0F6C}">
      <formula1>-273.15</formula1>
    </dataValidation>
    <dataValidation type="whole" operator="greaterThan" allowBlank="1" showInputMessage="1" showErrorMessage="1" prompt="The number of levels used in Pulse Amplitude Modulation" sqref="B10:C10" xr:uid="{7279B0D1-BDB0-48F7-A56B-0B3055F2020F}">
      <formula1>0</formula1>
    </dataValidation>
    <dataValidation type="whole" operator="greaterThan" allowBlank="1" showInputMessage="1" showErrorMessage="1" prompt="The total number of symbols in each RS-FEC block" sqref="B11:C11" xr:uid="{63562241-3C3E-4E8F-A7D5-439D52CCEC08}">
      <formula1>0</formula1>
    </dataValidation>
    <dataValidation type="whole" operator="greaterThan" allowBlank="1" showInputMessage="1" showErrorMessage="1" prompt="The number of data symbols in each RS-FEC block" sqref="B12:C12" xr:uid="{8CAB51AB-1929-429C-8E00-C15C5CEC1E54}">
      <formula1>0</formula1>
    </dataValidation>
    <dataValidation type="decimal" allowBlank="1" showInputMessage="1" showErrorMessage="1" prompt="The efficiency of the FEC, compared to the theoretical limit of (n-k)/2 error corrections per RS-FEC" sqref="B13:C13" xr:uid="{6A93FDCD-C727-4F2B-9110-CAB1934DF455}">
      <formula1>0</formula1>
      <formula2>1</formula2>
    </dataValidation>
    <dataValidation type="decimal" operator="greaterThan" allowBlank="1" showInputMessage="1" showErrorMessage="1" prompt="The number of bits in each RS-FEC symbol" sqref="B14:C14" xr:uid="{D6CB45A0-CE2A-4F23-BF28-0FEB2FE36950}">
      <formula1>0</formula1>
    </dataValidation>
    <dataValidation type="decimal" errorStyle="warning" allowBlank="1" showInputMessage="1" showErrorMessage="1" error="the value should be between 0% and 100%" prompt="The percentage of time spent in each direction in TDD. For EC systems this is normally 100% in each direction and for TDD systems the sum of the two values should not exceed 100%." sqref="B15:C15" xr:uid="{4C320ADA-6350-4625-89C5-1BEE1E8C7E47}">
      <formula1>0</formula1>
      <formula2>1</formula2>
    </dataValidation>
    <dataValidation type="decimal" errorStyle="warning" allowBlank="1" showInputMessage="1" showErrorMessage="1" error="the framing overhead should not be negative and is typically less than 10%" prompt="The Framing Overhead other than RS-FEC, such as the 65/64 and then OAM overhead. For IEEE 802.3ch this value is 1.875%." sqref="B16:C16" xr:uid="{84D3AFB6-6641-4537-9735-C2CFBAED058F}">
      <formula1>0</formula1>
      <formula2>0.1</formula2>
    </dataValidation>
    <dataValidation type="decimal" errorStyle="warning" allowBlank="1" showInputMessage="1" showErrorMessage="1" error="the impulse error rate can not be negative and should not be too high" prompt="The frequency of impulse events at the slicer. These impulse events can be caused by saturation in the PHY implementation and may come from external noise sources." sqref="B21:C21" xr:uid="{5025A837-C5DE-4EA1-9B61-B33465FB9A41}">
      <formula1>0</formula1>
      <formula2>0.01</formula2>
    </dataValidation>
    <dataValidation type="decimal" errorStyle="warning" allowBlank="1" showInputMessage="1" showErrorMessage="1" error="it is unlikely that this value is lower than -150dBm/Hz or higher than -120dBm/Hz" prompt="The noise floor of the Analog Front End" sqref="B22:C22" xr:uid="{C4F87586-111E-4AB4-8A19-A0D435041D97}">
      <formula1>-150</formula1>
      <formula2>-120</formula2>
    </dataValidation>
    <dataValidation type="decimal" errorStyle="warning" operator="greaterThanOrEqual" allowBlank="1" showInputMessage="1" showErrorMessage="1" error="the echo cancelation should not be negative" prompt="The suppression of echo other than main connector echo" sqref="B23:C23" xr:uid="{8D5CDB7B-0099-4CA9-8334-74B5FC7DE2B2}">
      <formula1>0</formula1>
    </dataValidation>
    <dataValidation type="decimal" errorStyle="warning" allowBlank="1" showInputMessage="1" showErrorMessage="1" error="this value should be in the range 0% to 100%, with 100% being typical" prompt="The percentage of connector echo that is canceled by the echo cancelers. this walue is typically either 0% or 100%." sqref="B24:C24" xr:uid="{5DA421D5-A787-44DD-99B7-A4DCC96DE307}">
      <formula1>0</formula1>
      <formula2>1</formula2>
    </dataValidation>
    <dataValidation type="decimal" errorStyle="warning" allowBlank="1" showInputMessage="1" showErrorMessage="1" error="typical value for the implementation loss is in the range 2dB to 7dB" prompt="The margin loss due to imperfections in the Phy implementation, such as ADC quantization, coefficient quantization, etc." sqref="C25" xr:uid="{16649272-A0AE-4B7A-A6FC-5EDC18F46865}">
      <formula1>0</formula1>
      <formula2>12</formula2>
    </dataValidation>
    <dataValidation type="decimal" operator="greaterThan" allowBlank="1" showInputMessage="1" showErrorMessage="1" prompt="The maximum frequency to use in the simulation. It needs to be greater than then Nyquist frequency." sqref="B32:C32" xr:uid="{742ED135-4B18-42C4-A905-D988B7D0AA43}">
      <formula1>MAX(B41:C41)*1000000000</formula1>
    </dataValidation>
    <dataValidation allowBlank="1" showInputMessage="1" showErrorMessage="1" prompt="The theoretical SNR for ideally equalized system" sqref="B36:C36" xr:uid="{820F9106-55A0-4FE5-9889-0EC8E3C7AD0D}"/>
    <dataValidation allowBlank="1" showInputMessage="1" showErrorMessage="1" prompt="The theoretical SNR minus the implementation loss" sqref="B37:C37" xr:uid="{BC177B51-7C9B-4226-A421-9F4130C64C0B}"/>
    <dataValidation allowBlank="1" showInputMessage="1" showErrorMessage="1" prompt="The minimum SNR to maintain the desired bit error rate" sqref="B38:C38" xr:uid="{EB07C343-5D1C-4CD5-BE62-7EAAD4857608}"/>
    <dataValidation allowBlank="1" showInputMessage="1" showErrorMessage="1" prompt="The difference of estimated SNR and required SNR" sqref="B39:C39" xr:uid="{9654CEDC-34FD-467E-B9A7-13464D8F428D}"/>
    <dataValidation allowBlank="1" showInputMessage="1" showErrorMessage="1" prompt="The gain of the return loss transfer function for the micro-reflections. This is derived from the &quot;Wire u-reflections limit&quot; field." sqref="B40:C40" xr:uid="{D1534D30-F067-4C1B-8B3B-EB4752725AFB}"/>
    <dataValidation allowBlank="1" showInputMessage="1" showErrorMessage="1" prompt="Half the baud rate" sqref="B41:C41" xr:uid="{90CD5B64-B68B-4C2E-BB40-B960C085F2A4}"/>
    <dataValidation allowBlank="1" showInputMessage="1" showErrorMessage="1" prompt="The channel insertion loss at the Nyquist frequency (including PCB)" sqref="B42:C42" xr:uid="{2280103A-4764-4D67-8E1E-95FA72DEEDBE}"/>
    <dataValidation allowBlank="1" showInputMessage="1" showErrorMessage="1" prompt="The channel insertion loss at the Nyquist frequency (not including the PCB)" sqref="B43:C43" xr:uid="{7D7B5D38-5A15-4C67-B2BE-3DBD252D1D6C}"/>
    <dataValidation type="decimal" errorStyle="warning" allowBlank="1" showInputMessage="1" showErrorMessage="1" error="typical value for the implementation loss is in the range 2dB to 7dB" prompt="The margin loss due to imperfections in the PHY implementation, such as ADC quantization, coefficient quantization, etc." sqref="B25" xr:uid="{444D4A44-EC55-4D65-9974-C0A966C79662}">
      <formula1>0</formula1>
      <formula2>12</formula2>
    </dataValidation>
    <dataValidation allowBlank="1" showInputMessage="1" showErrorMessage="1" prompt="The PCB boards total traces length" sqref="B29:C29" xr:uid="{BEE5F118-1A1E-4A0C-9017-CDFCD1663F04}"/>
  </dataValidations>
  <pageMargins left="0.7" right="0.7" top="0.75" bottom="0.75" header="0.3" footer="0.3"/>
  <pageSetup scale="62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information" allowBlank="1" showInputMessage="1" prompt="The gain rule for the return loss transfer function of the micro-reflections" xr:uid="{5997F5D1-FF64-4E52-A052-9D9FBE7F1BDA}">
          <x14:formula1>
            <xm:f>Masks!$W$14:$W$17</xm:f>
          </x14:formula1>
          <xm:sqref>B7:C7</xm:sqref>
        </x14:dataValidation>
        <x14:dataValidation type="list" allowBlank="1" showInputMessage="1" showErrorMessage="1" prompt="The connector echo model selection" xr:uid="{38DD57BF-5F81-46FF-BF81-F4373EEA7A1B}">
          <x14:formula1>
            <xm:f>Masks!$W$5:$W$8</xm:f>
          </x14:formula1>
          <xm:sqref>B30:C30</xm:sqref>
        </x14:dataValidation>
        <x14:dataValidation type="list" allowBlank="1" showInputMessage="1" showErrorMessage="1" prompt="The name of channel model to use" xr:uid="{87542FA7-EC65-4F26-B08C-9E91FC9BFDC9}">
          <x14:formula1>
            <xm:f>Channels!$E$1:$S$1</xm:f>
          </x14:formula1>
          <xm:sqref>B27:C27</xm:sqref>
        </x14:dataValidation>
        <x14:dataValidation type="list" allowBlank="1" showInputMessage="1" showErrorMessage="1" prompt="Select one of the predefined masks for the transmit Power Spectral Density" xr:uid="{6CB09975-EA08-4E76-AE28-ECE89021F09D}">
          <x14:formula1>
            <xm:f>Masks!$W$22:$W$25</xm:f>
          </x14:formula1>
          <xm:sqref>B18:C18</xm:sqref>
        </x14:dataValidation>
        <x14:dataValidation type="list" allowBlank="1" showInputMessage="1" showErrorMessage="1" prompt="The IL model for PCB board traces" xr:uid="{15CAB65A-A832-4E4E-8330-D1C61FD6A1A9}">
          <x14:formula1>
            <xm:f>Channels!$P$1:$S$1</xm:f>
          </x14:formula1>
          <xm:sqref>B28:C28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0C890-A42B-4F47-B1F4-BE1375AA5666}">
  <dimension ref="A1:AF201"/>
  <sheetViews>
    <sheetView topLeftCell="H1" workbookViewId="0">
      <pane ySplit="1" topLeftCell="A2" activePane="bottomLeft" state="frozen"/>
      <selection pane="bottomLeft" activeCell="AE6" sqref="AE6"/>
    </sheetView>
  </sheetViews>
  <sheetFormatPr defaultRowHeight="15" x14ac:dyDescent="0.25"/>
  <cols>
    <col min="1" max="1" width="14" style="33" customWidth="1"/>
    <col min="2" max="4" width="11.140625" customWidth="1"/>
    <col min="5" max="16" width="9.140625" customWidth="1"/>
    <col min="20" max="21" width="9.140625" style="1"/>
    <col min="30" max="30" width="30.140625" customWidth="1"/>
    <col min="31" max="32" width="11" bestFit="1" customWidth="1"/>
  </cols>
  <sheetData>
    <row r="1" spans="1:32" s="4" customFormat="1" ht="11.25" x14ac:dyDescent="0.2">
      <c r="A1" s="32" t="s">
        <v>26</v>
      </c>
      <c r="B1" s="4" t="s">
        <v>29</v>
      </c>
      <c r="C1" s="4" t="s">
        <v>121</v>
      </c>
      <c r="D1" s="4" t="s">
        <v>122</v>
      </c>
      <c r="E1" s="4" t="s">
        <v>4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36</v>
      </c>
      <c r="K1" s="4" t="s">
        <v>37</v>
      </c>
      <c r="L1" s="4" t="s">
        <v>13</v>
      </c>
      <c r="M1" s="4" t="s">
        <v>14</v>
      </c>
      <c r="N1" s="4" t="s">
        <v>15</v>
      </c>
      <c r="O1" s="4" t="s">
        <v>16</v>
      </c>
      <c r="P1" s="4" t="s">
        <v>17</v>
      </c>
      <c r="Q1" s="4" t="s">
        <v>18</v>
      </c>
      <c r="R1" s="4" t="s">
        <v>19</v>
      </c>
      <c r="S1" s="4" t="s">
        <v>20</v>
      </c>
      <c r="T1" s="73" t="s">
        <v>111</v>
      </c>
      <c r="U1" s="73" t="s">
        <v>112</v>
      </c>
      <c r="V1" s="4" t="s">
        <v>21</v>
      </c>
      <c r="W1" s="4" t="s">
        <v>22</v>
      </c>
      <c r="X1" s="4" t="s">
        <v>24</v>
      </c>
      <c r="Y1" s="4" t="s">
        <v>25</v>
      </c>
      <c r="Z1" s="4" t="s">
        <v>23</v>
      </c>
      <c r="AA1" s="4" t="s">
        <v>27</v>
      </c>
      <c r="AB1" s="4" t="s">
        <v>104</v>
      </c>
    </row>
    <row r="2" spans="1:32" ht="15.75" thickBot="1" x14ac:dyDescent="0.3">
      <c r="A2" s="33">
        <f>f_step</f>
        <v>45000000</v>
      </c>
      <c r="B2" s="1">
        <f>Calculate[[#This Row],[Freq]]</f>
        <v>45000000</v>
      </c>
      <c r="C2" s="1">
        <f>Channels!B2*cable_length</f>
        <v>-1.6086600973579019</v>
      </c>
      <c r="D2" s="1">
        <f>Channels!C2*PCB_trace_length</f>
        <v>-3.6126759710444142E-2</v>
      </c>
      <c r="E2" s="1">
        <f>Calculate[[#This Row],[IL_Cable]]+Calculate[[#This Row],[IL_PCB]]</f>
        <v>-1.6447868570683462</v>
      </c>
      <c r="F2" s="2">
        <f>Masks!A2</f>
        <v>-97.360471704616899</v>
      </c>
      <c r="G2" s="2">
        <f>Masks!B2</f>
        <v>-97.360471704616899</v>
      </c>
      <c r="H2" s="2">
        <f>Calculate[[#This Row],[Tx_PSD_us]]+Calculate[[#This Row],[IL]]</f>
        <v>-99.005258561685238</v>
      </c>
      <c r="I2" s="2">
        <f>Calculate[[#This Row],[Tx_PSD_ds]]+Calculate[[#This Row],[IL]]</f>
        <v>-99.005258561685238</v>
      </c>
      <c r="J2" s="2">
        <f>Masks[[#This Row],[channel_echo]]</f>
        <v>-24.255594168255566</v>
      </c>
      <c r="K2" s="2">
        <f>Masks[[#This Row],[channel_echo]]</f>
        <v>-24.255594168255566</v>
      </c>
      <c r="L2" s="2">
        <f>Calculate[[#This Row],[Echo_transfer_us]]+Calculate[[#This Row],[Tx_PSD_ds]]</f>
        <v>-121.61606587287247</v>
      </c>
      <c r="M2" s="2">
        <f>Calculate[[#This Row],[Echo_transfer_ds]]+Calculate[[#This Row],[Tx_PSD_us]]</f>
        <v>-121.61606587287247</v>
      </c>
      <c r="N2" s="2">
        <f t="shared" ref="N2:N33" si="0">AFE_noise_us</f>
        <v>-140</v>
      </c>
      <c r="O2" s="2">
        <f t="shared" ref="O2:O33" si="1">AFE_noise_ds</f>
        <v>-140</v>
      </c>
      <c r="P2" s="2">
        <f t="shared" ref="P2:P33" si="2">EC_cancel_us</f>
        <v>6</v>
      </c>
      <c r="Q2" s="2">
        <f t="shared" ref="Q2:Q33" si="3">EC_cancel_ds</f>
        <v>6</v>
      </c>
      <c r="R2" s="2">
        <f>10*LOG10((10^(Calculate[[#This Row],[Rx_echo_us]]/10))-(10^((Masks[[#This Row],[connector_echo]]+Calculate[[#This Row],[Tx_PSD_ds]])/10))*EC_conector_ratio_us)-Calculate[[#This Row],[EC_cancelation_us]]</f>
        <v>-145.00128545127743</v>
      </c>
      <c r="S2" s="2">
        <f>10*LOG10((10^(Calculate[[#This Row],[Rx_echo_ds]]/10))-(10^((Masks[[#This Row],[connector_echo]]+Calculate[[#This Row],[Tx_PSD_us]])/10))*EC_conector_ratio_ds)-Calculate[[#This Row],[EC_cancelation_ds]]</f>
        <v>-145.00128545127743</v>
      </c>
      <c r="T2" s="1">
        <f>(POWER(10,Calculate[[#This Row],[AFE_noise_us]]/10)+POWER(10,Calculate[[#This Row],[Echo_res_us]]/10))</f>
        <v>1.3161341808459063E-14</v>
      </c>
      <c r="U2" s="1">
        <f>(POWER(10,Calculate[[#This Row],[AFE_noise_ds]]/10)+POWER(10,Calculate[[#This Row],[Echo_res_ds]]/10))</f>
        <v>1.3161341808459063E-14</v>
      </c>
      <c r="V2" s="2">
        <f>10*LOG10(Calculate[[#This Row],[Linear_Noise_us]])</f>
        <v>-138.80699831823648</v>
      </c>
      <c r="W2" s="2">
        <f>10*LOG10(Calculate[[#This Row],[Linear_Noise_ds]])</f>
        <v>-138.80699831823648</v>
      </c>
      <c r="X2" s="2">
        <f>Calculate[[#This Row],[Rx_PSD_us]]-Calculate[[#This Row],[Noise_us]]</f>
        <v>39.801739756551243</v>
      </c>
      <c r="Y2" s="2">
        <f>Calculate[[#This Row],[Rx_PSD_ds]]-Calculate[[#This Row],[Noise_ds]]</f>
        <v>39.801739756551243</v>
      </c>
      <c r="Z2" s="2">
        <f>POWER(10,Calculate[[#This Row],[SNRdB_us]]/10)</f>
        <v>9553.7522671934403</v>
      </c>
      <c r="AA2" s="2">
        <f>POWER(10,Calculate[[#This Row],[SNRdB_ds]]/10)</f>
        <v>9553.7522671934403</v>
      </c>
      <c r="AB2" s="2">
        <f>-(0.002*Calculate[[#This Row],[Freq]]/1000000/2.5+0.68*(Calculate[[#This Row],[Freq]]/1000000/2.5)^0.45)</f>
        <v>-2.5327872620251815</v>
      </c>
      <c r="AC2" s="2"/>
      <c r="AE2" t="str">
        <f>Config!B2</f>
        <v>Upstream</v>
      </c>
      <c r="AF2" t="str">
        <f>Config!C2</f>
        <v>Downstream</v>
      </c>
    </row>
    <row r="3" spans="1:32" x14ac:dyDescent="0.25">
      <c r="A3" s="33">
        <f t="shared" ref="A3:A34" si="4">f_step+A2</f>
        <v>90000000</v>
      </c>
      <c r="B3" s="1">
        <f>Calculate[[#This Row],[Freq]]-A2</f>
        <v>45000000</v>
      </c>
      <c r="C3" s="1">
        <f>Channels!B3*cable_length</f>
        <v>-2.3017195625033811</v>
      </c>
      <c r="D3" s="1">
        <f>Channels!C3*PCB_trace_length</f>
        <v>-5.8833000000000003E-2</v>
      </c>
      <c r="E3" s="1">
        <f>Calculate[[#This Row],[IL_Cable]]+Calculate[[#This Row],[IL_PCB]]</f>
        <v>-2.360552562503381</v>
      </c>
      <c r="F3" s="2">
        <f>Masks!A3</f>
        <v>-97.360910630638642</v>
      </c>
      <c r="G3" s="2">
        <f>Masks!B3</f>
        <v>-97.360910630638642</v>
      </c>
      <c r="H3" s="2">
        <f>Calculate[[#This Row],[Tx_PSD_us]]+Calculate[[#This Row],[IL]]</f>
        <v>-99.721463193142029</v>
      </c>
      <c r="I3" s="2">
        <f>Calculate[[#This Row],[Tx_PSD_ds]]+Calculate[[#This Row],[IL]]</f>
        <v>-99.721463193142029</v>
      </c>
      <c r="J3" s="2">
        <f>Masks[[#This Row],[channel_echo]]</f>
        <v>-23.450022552161627</v>
      </c>
      <c r="K3" s="2">
        <f>Masks[[#This Row],[channel_echo]]</f>
        <v>-23.450022552161627</v>
      </c>
      <c r="L3" s="2">
        <f>Calculate[[#This Row],[Echo_transfer_us]]+Calculate[[#This Row],[Tx_PSD_ds]]</f>
        <v>-120.81093318280027</v>
      </c>
      <c r="M3" s="2">
        <f>Calculate[[#This Row],[Echo_transfer_ds]]+Calculate[[#This Row],[Tx_PSD_us]]</f>
        <v>-120.81093318280027</v>
      </c>
      <c r="N3" s="2">
        <f t="shared" si="0"/>
        <v>-140</v>
      </c>
      <c r="O3" s="2">
        <f t="shared" si="1"/>
        <v>-140</v>
      </c>
      <c r="P3" s="2">
        <f t="shared" si="2"/>
        <v>6</v>
      </c>
      <c r="Q3" s="2">
        <f t="shared" si="3"/>
        <v>6</v>
      </c>
      <c r="R3" s="2">
        <f>10*LOG10((10^(Calculate[[#This Row],[Rx_echo_us]]/10))-(10^((Masks[[#This Row],[connector_echo]]+Calculate[[#This Row],[Tx_PSD_ds]])/10))*EC_conector_ratio_us)-Calculate[[#This Row],[EC_cancelation_us]]</f>
        <v>-145.00172437729864</v>
      </c>
      <c r="S3" s="2">
        <f>10*LOG10((10^(Calculate[[#This Row],[Rx_echo_ds]]/10))-(10^((Masks[[#This Row],[connector_echo]]+Calculate[[#This Row],[Tx_PSD_us]])/10))*EC_conector_ratio_ds)-Calculate[[#This Row],[EC_cancelation_ds]]</f>
        <v>-145.00172437729864</v>
      </c>
      <c r="T3" s="1">
        <f>(POWER(10,Calculate[[#This Row],[AFE_noise_us]]/10)+POWER(10,Calculate[[#This Row],[Echo_res_us]]/10))</f>
        <v>1.3161022319006127E-14</v>
      </c>
      <c r="U3" s="1">
        <f>(POWER(10,Calculate[[#This Row],[AFE_noise_ds]]/10)+POWER(10,Calculate[[#This Row],[Echo_res_ds]]/10))</f>
        <v>1.3161022319006127E-14</v>
      </c>
      <c r="V3" s="2">
        <f>10*LOG10(Calculate[[#This Row],[Linear_Noise_us]])</f>
        <v>-138.80710374380217</v>
      </c>
      <c r="W3" s="2">
        <f>10*LOG10(Calculate[[#This Row],[Linear_Noise_ds]])</f>
        <v>-138.80710374380217</v>
      </c>
      <c r="X3" s="2">
        <f>Calculate[[#This Row],[Rx_PSD_us]]-Calculate[[#This Row],[Noise_us]]</f>
        <v>39.085640550660145</v>
      </c>
      <c r="Y3" s="2">
        <f>Calculate[[#This Row],[Rx_PSD_ds]]-Calculate[[#This Row],[Noise_ds]]</f>
        <v>39.085640550660145</v>
      </c>
      <c r="Z3" s="2">
        <f>POWER(10,Calculate[[#This Row],[SNRdB_us]]/10)</f>
        <v>8101.4742332713422</v>
      </c>
      <c r="AA3" s="2">
        <f>POWER(10,Calculate[[#This Row],[SNRdB_ds]]/10)</f>
        <v>8101.4742332713422</v>
      </c>
      <c r="AB3" s="2">
        <f>-(0.002*Calculate[[#This Row],[Freq]]/1000000/2.5+0.68*(Calculate[[#This Row],[Freq]]/1000000/2.5)^0.45)</f>
        <v>-3.4827119124779835</v>
      </c>
      <c r="AC3" s="2"/>
      <c r="AD3" s="6" t="s">
        <v>43</v>
      </c>
      <c r="AE3" s="10">
        <f>FLOOR((Config!B11-Config!B12)/2*Config!B13,1)</f>
        <v>17</v>
      </c>
      <c r="AF3" s="10">
        <f>FLOOR((Config!C11-Config!C12)/2*Config!C13,1)</f>
        <v>17</v>
      </c>
    </row>
    <row r="4" spans="1:32" x14ac:dyDescent="0.25">
      <c r="A4" s="33">
        <f t="shared" si="4"/>
        <v>135000000</v>
      </c>
      <c r="B4" s="1">
        <f>Calculate[[#This Row],[Freq]]-A3</f>
        <v>45000000</v>
      </c>
      <c r="C4" s="1">
        <f>Channels!B4*cable_length</f>
        <v>-2.8441401407273181</v>
      </c>
      <c r="D4" s="1">
        <f>Channels!C4*PCB_trace_length</f>
        <v>-7.9331233833087489E-2</v>
      </c>
      <c r="E4" s="1">
        <f>Calculate[[#This Row],[IL_Cable]]+Calculate[[#This Row],[IL_PCB]]</f>
        <v>-2.9234713745604055</v>
      </c>
      <c r="F4" s="2">
        <f>Masks!A4</f>
        <v>-97.361642193725203</v>
      </c>
      <c r="G4" s="2">
        <f>Masks!B4</f>
        <v>-97.361642193725203</v>
      </c>
      <c r="H4" s="2">
        <f>Calculate[[#This Row],[Tx_PSD_us]]+Calculate[[#This Row],[IL]]</f>
        <v>-100.28511356828561</v>
      </c>
      <c r="I4" s="2">
        <f>Calculate[[#This Row],[Tx_PSD_ds]]+Calculate[[#This Row],[IL]]</f>
        <v>-100.28511356828561</v>
      </c>
      <c r="J4" s="2">
        <f>Masks[[#This Row],[channel_echo]]</f>
        <v>-22.770753307810992</v>
      </c>
      <c r="K4" s="2">
        <f>Masks[[#This Row],[channel_echo]]</f>
        <v>-22.770753307810992</v>
      </c>
      <c r="L4" s="2">
        <f>Calculate[[#This Row],[Echo_transfer_us]]+Calculate[[#This Row],[Tx_PSD_ds]]</f>
        <v>-120.13239550153619</v>
      </c>
      <c r="M4" s="2">
        <f>Calculate[[#This Row],[Echo_transfer_ds]]+Calculate[[#This Row],[Tx_PSD_us]]</f>
        <v>-120.13239550153619</v>
      </c>
      <c r="N4" s="2">
        <f t="shared" si="0"/>
        <v>-140</v>
      </c>
      <c r="O4" s="2">
        <f t="shared" si="1"/>
        <v>-140</v>
      </c>
      <c r="P4" s="2">
        <f t="shared" si="2"/>
        <v>6</v>
      </c>
      <c r="Q4" s="2">
        <f t="shared" si="3"/>
        <v>6</v>
      </c>
      <c r="R4" s="2">
        <f>10*LOG10((10^(Calculate[[#This Row],[Rx_echo_us]]/10))-(10^((Masks[[#This Row],[connector_echo]]+Calculate[[#This Row],[Tx_PSD_ds]])/10))*EC_conector_ratio_us)-Calculate[[#This Row],[EC_cancelation_us]]</f>
        <v>-145.002455940385</v>
      </c>
      <c r="S4" s="2">
        <f>10*LOG10((10^(Calculate[[#This Row],[Rx_echo_ds]]/10))-(10^((Masks[[#This Row],[connector_echo]]+Calculate[[#This Row],[Tx_PSD_us]])/10))*EC_conector_ratio_ds)-Calculate[[#This Row],[EC_cancelation_ds]]</f>
        <v>-145.002455940385</v>
      </c>
      <c r="T4" s="1">
        <f>(POWER(10,Calculate[[#This Row],[AFE_noise_us]]/10)+POWER(10,Calculate[[#This Row],[Echo_res_us]]/10))</f>
        <v>1.3160489893985006E-14</v>
      </c>
      <c r="U4" s="1">
        <f>(POWER(10,Calculate[[#This Row],[AFE_noise_ds]]/10)+POWER(10,Calculate[[#This Row],[Echo_res_ds]]/10))</f>
        <v>1.3160489893985006E-14</v>
      </c>
      <c r="V4" s="2">
        <f>10*LOG10(Calculate[[#This Row],[Linear_Noise_us]])</f>
        <v>-138.80727943982365</v>
      </c>
      <c r="W4" s="2">
        <f>10*LOG10(Calculate[[#This Row],[Linear_Noise_ds]])</f>
        <v>-138.80727943982365</v>
      </c>
      <c r="X4" s="2">
        <f>Calculate[[#This Row],[Rx_PSD_us]]-Calculate[[#This Row],[Noise_us]]</f>
        <v>38.522165871538036</v>
      </c>
      <c r="Y4" s="2">
        <f>Calculate[[#This Row],[Rx_PSD_ds]]-Calculate[[#This Row],[Noise_ds]]</f>
        <v>38.522165871538036</v>
      </c>
      <c r="Z4" s="2">
        <f>POWER(10,Calculate[[#This Row],[SNRdB_us]]/10)</f>
        <v>7115.682916532227</v>
      </c>
      <c r="AA4" s="2">
        <f>POWER(10,Calculate[[#This Row],[SNRdB_ds]]/10)</f>
        <v>7115.682916532227</v>
      </c>
      <c r="AB4" s="2">
        <f>-(0.002*Calculate[[#This Row],[Freq]]/1000000/2.5+0.68*(Calculate[[#This Row],[Freq]]/1000000/2.5)^0.45)</f>
        <v>-4.2014180911435384</v>
      </c>
      <c r="AC4" s="2"/>
      <c r="AD4" s="5" t="s">
        <v>44</v>
      </c>
      <c r="AE4" s="11">
        <f>_xlfn.CHISQ.INV(Config!B5,2*(AE3+1))/2</f>
        <v>1.7873822603246445</v>
      </c>
      <c r="AF4" s="11">
        <f>_xlfn.CHISQ.INV(Config!C5,2*(AF3+1))/2</f>
        <v>1.7873822603246445</v>
      </c>
    </row>
    <row r="5" spans="1:32" x14ac:dyDescent="0.25">
      <c r="A5" s="33">
        <f t="shared" si="4"/>
        <v>180000000</v>
      </c>
      <c r="B5" s="1">
        <f>Calculate[[#This Row],[Freq]]-A4</f>
        <v>45000000</v>
      </c>
      <c r="C5" s="1">
        <f>Channels!B5*cable_length</f>
        <v>-3.308584293214575</v>
      </c>
      <c r="D5" s="1">
        <f>Channels!C5*PCB_trace_length</f>
        <v>-9.8686519420888283E-2</v>
      </c>
      <c r="E5" s="1">
        <f>Calculate[[#This Row],[IL_Cable]]+Calculate[[#This Row],[IL_PCB]]</f>
        <v>-3.4072708126354634</v>
      </c>
      <c r="F5" s="2">
        <f>Masks!A5</f>
        <v>-97.362666423455991</v>
      </c>
      <c r="G5" s="2">
        <f>Masks!B5</f>
        <v>-97.362666423455991</v>
      </c>
      <c r="H5" s="2">
        <f>Calculate[[#This Row],[Tx_PSD_us]]+Calculate[[#This Row],[IL]]</f>
        <v>-100.76993723609145</v>
      </c>
      <c r="I5" s="2">
        <f>Calculate[[#This Row],[Tx_PSD_ds]]+Calculate[[#This Row],[IL]]</f>
        <v>-100.76993723609145</v>
      </c>
      <c r="J5" s="2">
        <f>Masks[[#This Row],[channel_echo]]</f>
        <v>-22.183497316077574</v>
      </c>
      <c r="K5" s="2">
        <f>Masks[[#This Row],[channel_echo]]</f>
        <v>-22.183497316077574</v>
      </c>
      <c r="L5" s="2">
        <f>Calculate[[#This Row],[Echo_transfer_us]]+Calculate[[#This Row],[Tx_PSD_ds]]</f>
        <v>-119.54616373953357</v>
      </c>
      <c r="M5" s="2">
        <f>Calculate[[#This Row],[Echo_transfer_ds]]+Calculate[[#This Row],[Tx_PSD_us]]</f>
        <v>-119.54616373953357</v>
      </c>
      <c r="N5" s="2">
        <f t="shared" si="0"/>
        <v>-140</v>
      </c>
      <c r="O5" s="2">
        <f t="shared" si="1"/>
        <v>-140</v>
      </c>
      <c r="P5" s="2">
        <f t="shared" si="2"/>
        <v>6</v>
      </c>
      <c r="Q5" s="2">
        <f t="shared" si="3"/>
        <v>6</v>
      </c>
      <c r="R5" s="2">
        <f>10*LOG10((10^(Calculate[[#This Row],[Rx_echo_us]]/10))-(10^((Masks[[#This Row],[connector_echo]]+Calculate[[#This Row],[Tx_PSD_ds]])/10))*EC_conector_ratio_us)-Calculate[[#This Row],[EC_cancelation_us]]</f>
        <v>-145.003480170117</v>
      </c>
      <c r="S5" s="2">
        <f>10*LOG10((10^(Calculate[[#This Row],[Rx_echo_ds]]/10))-(10^((Masks[[#This Row],[connector_echo]]+Calculate[[#This Row],[Tx_PSD_us]])/10))*EC_conector_ratio_ds)-Calculate[[#This Row],[EC_cancelation_ds]]</f>
        <v>-145.003480170117</v>
      </c>
      <c r="T5" s="1">
        <f>(POWER(10,Calculate[[#This Row],[AFE_noise_us]]/10)+POWER(10,Calculate[[#This Row],[Echo_res_us]]/10))</f>
        <v>1.3159744619483296E-14</v>
      </c>
      <c r="U5" s="1">
        <f>(POWER(10,Calculate[[#This Row],[AFE_noise_ds]]/10)+POWER(10,Calculate[[#This Row],[Echo_res_ds]]/10))</f>
        <v>1.3159744619483296E-14</v>
      </c>
      <c r="V5" s="2">
        <f>10*LOG10(Calculate[[#This Row],[Linear_Noise_us]])</f>
        <v>-138.80752538641923</v>
      </c>
      <c r="W5" s="2">
        <f>10*LOG10(Calculate[[#This Row],[Linear_Noise_ds]])</f>
        <v>-138.80752538641923</v>
      </c>
      <c r="X5" s="2">
        <f>Calculate[[#This Row],[Rx_PSD_us]]-Calculate[[#This Row],[Noise_us]]</f>
        <v>38.037588150327778</v>
      </c>
      <c r="Y5" s="2">
        <f>Calculate[[#This Row],[Rx_PSD_ds]]-Calculate[[#This Row],[Noise_ds]]</f>
        <v>38.037588150327778</v>
      </c>
      <c r="Z5" s="2">
        <f>POWER(10,Calculate[[#This Row],[SNRdB_us]]/10)</f>
        <v>6364.4197538901853</v>
      </c>
      <c r="AA5" s="2">
        <f>POWER(10,Calculate[[#This Row],[SNRdB_ds]]/10)</f>
        <v>6364.4197538901853</v>
      </c>
      <c r="AB5" s="2">
        <f>-(0.002*Calculate[[#This Row],[Freq]]/1000000/2.5+0.68*(Calculate[[#This Row],[Freq]]/1000000/2.5)^0.45)</f>
        <v>-4.8031697766367003</v>
      </c>
      <c r="AC5" s="2"/>
      <c r="AD5" s="5" t="s">
        <v>45</v>
      </c>
      <c r="AE5" s="11">
        <f>AE4/Config!B11</f>
        <v>4.964950723124013E-3</v>
      </c>
      <c r="AF5" s="11">
        <f>AF4/Config!C11</f>
        <v>4.964950723124013E-3</v>
      </c>
    </row>
    <row r="6" spans="1:32" x14ac:dyDescent="0.25">
      <c r="A6" s="33">
        <f t="shared" si="4"/>
        <v>225000000</v>
      </c>
      <c r="B6" s="1">
        <f>Calculate[[#This Row],[Freq]]-A5</f>
        <v>45000000</v>
      </c>
      <c r="C6" s="1">
        <f>Channels!B6*cable_length</f>
        <v>-3.7231972125563821</v>
      </c>
      <c r="D6" s="1">
        <f>Channels!C6*PCB_trace_length</f>
        <v>-0.11731139809472775</v>
      </c>
      <c r="E6" s="1">
        <f>Calculate[[#This Row],[IL_Cable]]+Calculate[[#This Row],[IL_PCB]]</f>
        <v>-3.8405086106511099</v>
      </c>
      <c r="F6" s="2">
        <f>Masks!A6</f>
        <v>-97.363983361250234</v>
      </c>
      <c r="G6" s="2">
        <f>Masks!B6</f>
        <v>-97.363983361250234</v>
      </c>
      <c r="H6" s="2">
        <f>Calculate[[#This Row],[Tx_PSD_us]]+Calculate[[#This Row],[IL]]</f>
        <v>-101.20449197190135</v>
      </c>
      <c r="I6" s="2">
        <f>Calculate[[#This Row],[Tx_PSD_ds]]+Calculate[[#This Row],[IL]]</f>
        <v>-101.20449197190135</v>
      </c>
      <c r="J6" s="2">
        <f>Masks[[#This Row],[channel_echo]]</f>
        <v>-21.666274463936823</v>
      </c>
      <c r="K6" s="2">
        <f>Masks[[#This Row],[channel_echo]]</f>
        <v>-21.666274463936823</v>
      </c>
      <c r="L6" s="2">
        <f>Calculate[[#This Row],[Echo_transfer_us]]+Calculate[[#This Row],[Tx_PSD_ds]]</f>
        <v>-119.03025782518705</v>
      </c>
      <c r="M6" s="2">
        <f>Calculate[[#This Row],[Echo_transfer_ds]]+Calculate[[#This Row],[Tx_PSD_us]]</f>
        <v>-119.03025782518705</v>
      </c>
      <c r="N6" s="2">
        <f t="shared" si="0"/>
        <v>-140</v>
      </c>
      <c r="O6" s="2">
        <f t="shared" si="1"/>
        <v>-140</v>
      </c>
      <c r="P6" s="2">
        <f t="shared" si="2"/>
        <v>6</v>
      </c>
      <c r="Q6" s="2">
        <f t="shared" si="3"/>
        <v>6</v>
      </c>
      <c r="R6" s="2">
        <f>10*LOG10((10^(Calculate[[#This Row],[Rx_echo_us]]/10))-(10^((Masks[[#This Row],[connector_echo]]+Calculate[[#This Row],[Tx_PSD_ds]])/10))*EC_conector_ratio_us)-Calculate[[#This Row],[EC_cancelation_us]]</f>
        <v>-145.00479710791049</v>
      </c>
      <c r="S6" s="2">
        <f>10*LOG10((10^(Calculate[[#This Row],[Rx_echo_ds]]/10))-(10^((Masks[[#This Row],[connector_echo]]+Calculate[[#This Row],[Tx_PSD_us]])/10))*EC_conector_ratio_ds)-Calculate[[#This Row],[EC_cancelation_ds]]</f>
        <v>-145.00479710791049</v>
      </c>
      <c r="T6" s="1">
        <f>(POWER(10,Calculate[[#This Row],[AFE_noise_us]]/10)+POWER(10,Calculate[[#This Row],[Echo_res_us]]/10))</f>
        <v>1.3158786616001054E-14</v>
      </c>
      <c r="U6" s="1">
        <f>(POWER(10,Calculate[[#This Row],[AFE_noise_ds]]/10)+POWER(10,Calculate[[#This Row],[Echo_res_ds]]/10))</f>
        <v>1.3158786616001054E-14</v>
      </c>
      <c r="V6" s="2">
        <f>10*LOG10(Calculate[[#This Row],[Linear_Noise_us]])</f>
        <v>-138.80784155575441</v>
      </c>
      <c r="W6" s="2">
        <f>10*LOG10(Calculate[[#This Row],[Linear_Noise_ds]])</f>
        <v>-138.80784155575441</v>
      </c>
      <c r="X6" s="2">
        <f>Calculate[[#This Row],[Rx_PSD_us]]-Calculate[[#This Row],[Noise_us]]</f>
        <v>37.60334958385306</v>
      </c>
      <c r="Y6" s="2">
        <f>Calculate[[#This Row],[Rx_PSD_ds]]-Calculate[[#This Row],[Noise_ds]]</f>
        <v>37.60334958385306</v>
      </c>
      <c r="Z6" s="2">
        <f>POWER(10,Calculate[[#This Row],[SNRdB_us]]/10)</f>
        <v>5758.8392820040463</v>
      </c>
      <c r="AA6" s="2">
        <f>POWER(10,Calculate[[#This Row],[SNRdB_ds]]/10)</f>
        <v>5758.8392820040463</v>
      </c>
      <c r="AB6" s="2">
        <f>-(0.002*Calculate[[#This Row],[Freq]]/1000000/2.5+0.68*(Calculate[[#This Row],[Freq]]/1000000/2.5)^0.45)</f>
        <v>-5.3313142218878742</v>
      </c>
      <c r="AC6" s="2"/>
      <c r="AD6" s="5" t="s">
        <v>46</v>
      </c>
      <c r="AE6" s="11">
        <f>1-POWER(1-AE5,LOG(Config!B8,2)/Config!B14)</f>
        <v>9.9496809867916092E-4</v>
      </c>
      <c r="AF6" s="11">
        <f>1-POWER(1-AF5,LOG(Config!C8,2)/Config!C14)</f>
        <v>9.9496809867916092E-4</v>
      </c>
    </row>
    <row r="7" spans="1:32" x14ac:dyDescent="0.25">
      <c r="A7" s="33">
        <f t="shared" si="4"/>
        <v>270000000</v>
      </c>
      <c r="B7" s="1">
        <f>Calculate[[#This Row],[Freq]]-A6</f>
        <v>45000000</v>
      </c>
      <c r="C7" s="1">
        <f>Channels!B7*cable_length</f>
        <v>-4.1024134670205363</v>
      </c>
      <c r="D7" s="1">
        <f>Channels!C7*PCB_trace_length</f>
        <v>-0.13541744616523163</v>
      </c>
      <c r="E7" s="1">
        <f>Calculate[[#This Row],[IL_Cable]]+Calculate[[#This Row],[IL_PCB]]</f>
        <v>-4.2378309131857677</v>
      </c>
      <c r="F7" s="2">
        <f>Masks!A7</f>
        <v>-97.365593060374835</v>
      </c>
      <c r="G7" s="2">
        <f>Masks!B7</f>
        <v>-97.365593060374835</v>
      </c>
      <c r="H7" s="2">
        <f>Calculate[[#This Row],[Tx_PSD_us]]+Calculate[[#This Row],[IL]]</f>
        <v>-101.60342397356061</v>
      </c>
      <c r="I7" s="2">
        <f>Calculate[[#This Row],[Tx_PSD_ds]]+Calculate[[#This Row],[IL]]</f>
        <v>-101.60342397356061</v>
      </c>
      <c r="J7" s="2">
        <f>Masks[[#This Row],[channel_echo]]</f>
        <v>-21.204146831993278</v>
      </c>
      <c r="K7" s="2">
        <f>Masks[[#This Row],[channel_echo]]</f>
        <v>-21.204146831993278</v>
      </c>
      <c r="L7" s="2">
        <f>Calculate[[#This Row],[Echo_transfer_us]]+Calculate[[#This Row],[Tx_PSD_ds]]</f>
        <v>-118.56973989236812</v>
      </c>
      <c r="M7" s="2">
        <f>Calculate[[#This Row],[Echo_transfer_ds]]+Calculate[[#This Row],[Tx_PSD_us]]</f>
        <v>-118.56973989236812</v>
      </c>
      <c r="N7" s="2">
        <f t="shared" si="0"/>
        <v>-140</v>
      </c>
      <c r="O7" s="2">
        <f t="shared" si="1"/>
        <v>-140</v>
      </c>
      <c r="P7" s="2">
        <f t="shared" si="2"/>
        <v>6</v>
      </c>
      <c r="Q7" s="2">
        <f t="shared" si="3"/>
        <v>6</v>
      </c>
      <c r="R7" s="2">
        <f>10*LOG10((10^(Calculate[[#This Row],[Rx_echo_us]]/10))-(10^((Masks[[#This Row],[connector_echo]]+Calculate[[#This Row],[Tx_PSD_ds]])/10))*EC_conector_ratio_us)-Calculate[[#This Row],[EC_cancelation_us]]</f>
        <v>-145.0064068070366</v>
      </c>
      <c r="S7" s="2">
        <f>10*LOG10((10^(Calculate[[#This Row],[Rx_echo_ds]]/10))-(10^((Masks[[#This Row],[connector_echo]]+Calculate[[#This Row],[Tx_PSD_us]])/10))*EC_conector_ratio_ds)-Calculate[[#This Row],[EC_cancelation_ds]]</f>
        <v>-145.0064068070366</v>
      </c>
      <c r="T7" s="1">
        <f>(POWER(10,Calculate[[#This Row],[AFE_noise_us]]/10)+POWER(10,Calculate[[#This Row],[Echo_res_us]]/10))</f>
        <v>1.3157616038416003E-14</v>
      </c>
      <c r="U7" s="1">
        <f>(POWER(10,Calculate[[#This Row],[AFE_noise_ds]]/10)+POWER(10,Calculate[[#This Row],[Echo_res_ds]]/10))</f>
        <v>1.3157616038416003E-14</v>
      </c>
      <c r="V7" s="2">
        <f>10*LOG10(Calculate[[#This Row],[Linear_Noise_us]])</f>
        <v>-138.80822791204542</v>
      </c>
      <c r="W7" s="2">
        <f>10*LOG10(Calculate[[#This Row],[Linear_Noise_ds]])</f>
        <v>-138.80822791204542</v>
      </c>
      <c r="X7" s="2">
        <f>Calculate[[#This Row],[Rx_PSD_us]]-Calculate[[#This Row],[Noise_us]]</f>
        <v>37.204803938484815</v>
      </c>
      <c r="Y7" s="2">
        <f>Calculate[[#This Row],[Rx_PSD_ds]]-Calculate[[#This Row],[Noise_ds]]</f>
        <v>37.204803938484815</v>
      </c>
      <c r="Z7" s="2">
        <f>POWER(10,Calculate[[#This Row],[SNRdB_us]]/10)</f>
        <v>5253.8829600821418</v>
      </c>
      <c r="AA7" s="2">
        <f>POWER(10,Calculate[[#This Row],[SNRdB_ds]]/10)</f>
        <v>5253.8829600821418</v>
      </c>
      <c r="AB7" s="2">
        <f>-(0.002*Calculate[[#This Row],[Freq]]/1000000/2.5+0.68*(Calculate[[#This Row],[Freq]]/1000000/2.5)^0.45)</f>
        <v>-5.807773900228808</v>
      </c>
      <c r="AC7" s="2"/>
      <c r="AD7" s="5" t="s">
        <v>47</v>
      </c>
      <c r="AE7" s="11">
        <f>AE6-Config!B21</f>
        <v>8.9496809867916087E-4</v>
      </c>
      <c r="AF7" s="11">
        <f>AF6-Config!C21</f>
        <v>8.9496809867916087E-4</v>
      </c>
    </row>
    <row r="8" spans="1:32" ht="15.75" thickBot="1" x14ac:dyDescent="0.3">
      <c r="A8" s="33">
        <f t="shared" si="4"/>
        <v>315000000</v>
      </c>
      <c r="B8" s="1">
        <f>Calculate[[#This Row],[Freq]]-A7</f>
        <v>45000000</v>
      </c>
      <c r="C8" s="1">
        <f>Channels!B8*cable_length</f>
        <v>-4.4548078522595347</v>
      </c>
      <c r="D8" s="1">
        <f>Channels!C8*PCB_trace_length</f>
        <v>-0.15313034966573785</v>
      </c>
      <c r="E8" s="1">
        <f>Calculate[[#This Row],[IL_Cable]]+Calculate[[#This Row],[IL_PCB]]</f>
        <v>-4.6079382019252728</v>
      </c>
      <c r="F8" s="2">
        <f>Masks!A8</f>
        <v>-97.367495585954714</v>
      </c>
      <c r="G8" s="2">
        <f>Masks!B8</f>
        <v>-97.367495585954714</v>
      </c>
      <c r="H8" s="2">
        <f>Calculate[[#This Row],[Tx_PSD_us]]+Calculate[[#This Row],[IL]]</f>
        <v>-101.97543378787999</v>
      </c>
      <c r="I8" s="2">
        <f>Calculate[[#This Row],[Tx_PSD_ds]]+Calculate[[#This Row],[IL]]</f>
        <v>-101.97543378787999</v>
      </c>
      <c r="J8" s="2">
        <f>Masks[[#This Row],[channel_echo]]</f>
        <v>-20.786498569130391</v>
      </c>
      <c r="K8" s="2">
        <f>Masks[[#This Row],[channel_echo]]</f>
        <v>-20.786498569130391</v>
      </c>
      <c r="L8" s="2">
        <f>Calculate[[#This Row],[Echo_transfer_us]]+Calculate[[#This Row],[Tx_PSD_ds]]</f>
        <v>-118.1539941550851</v>
      </c>
      <c r="M8" s="2">
        <f>Calculate[[#This Row],[Echo_transfer_ds]]+Calculate[[#This Row],[Tx_PSD_us]]</f>
        <v>-118.1539941550851</v>
      </c>
      <c r="N8" s="2">
        <f t="shared" si="0"/>
        <v>-140</v>
      </c>
      <c r="O8" s="2">
        <f t="shared" si="1"/>
        <v>-140</v>
      </c>
      <c r="P8" s="2">
        <f t="shared" si="2"/>
        <v>6</v>
      </c>
      <c r="Q8" s="2">
        <f t="shared" si="3"/>
        <v>6</v>
      </c>
      <c r="R8" s="2">
        <f>10*LOG10((10^(Calculate[[#This Row],[Rx_echo_us]]/10))-(10^((Masks[[#This Row],[connector_echo]]+Calculate[[#This Row],[Tx_PSD_ds]])/10))*EC_conector_ratio_us)-Calculate[[#This Row],[EC_cancelation_us]]</f>
        <v>-145.0083093326152</v>
      </c>
      <c r="S8" s="2">
        <f>10*LOG10((10^(Calculate[[#This Row],[Rx_echo_ds]]/10))-(10^((Masks[[#This Row],[connector_echo]]+Calculate[[#This Row],[Tx_PSD_us]])/10))*EC_conector_ratio_ds)-Calculate[[#This Row],[EC_cancelation_ds]]</f>
        <v>-145.0083093326152</v>
      </c>
      <c r="T8" s="1">
        <f>(POWER(10,Calculate[[#This Row],[AFE_noise_us]]/10)+POWER(10,Calculate[[#This Row],[Echo_res_us]]/10))</f>
        <v>1.3156233075962194E-14</v>
      </c>
      <c r="U8" s="1">
        <f>(POWER(10,Calculate[[#This Row],[AFE_noise_ds]]/10)+POWER(10,Calculate[[#This Row],[Echo_res_ds]]/10))</f>
        <v>1.3156233075962194E-14</v>
      </c>
      <c r="V8" s="2">
        <f>10*LOG10(Calculate[[#This Row],[Linear_Noise_us]])</f>
        <v>-138.80868441155664</v>
      </c>
      <c r="W8" s="2">
        <f>10*LOG10(Calculate[[#This Row],[Linear_Noise_ds]])</f>
        <v>-138.80868441155664</v>
      </c>
      <c r="X8" s="2">
        <f>Calculate[[#This Row],[Rx_PSD_us]]-Calculate[[#This Row],[Noise_us]]</f>
        <v>36.833250623676648</v>
      </c>
      <c r="Y8" s="2">
        <f>Calculate[[#This Row],[Rx_PSD_ds]]-Calculate[[#This Row],[Noise_ds]]</f>
        <v>36.833250623676648</v>
      </c>
      <c r="Z8" s="2">
        <f>POWER(10,Calculate[[#This Row],[SNRdB_us]]/10)</f>
        <v>4823.0866275981944</v>
      </c>
      <c r="AA8" s="2">
        <f>POWER(10,Calculate[[#This Row],[SNRdB_ds]]/10)</f>
        <v>4823.0866275981944</v>
      </c>
      <c r="AB8" s="2">
        <f>-(0.002*Calculate[[#This Row],[Freq]]/1000000/2.5+0.68*(Calculate[[#This Row],[Freq]]/1000000/2.5)^0.45)</f>
        <v>-6.2454330448947344</v>
      </c>
      <c r="AC8" s="2"/>
      <c r="AD8" s="7" t="s">
        <v>48</v>
      </c>
      <c r="AE8" s="12">
        <f>(Config!B10*Config!B10-1)/3*POWER(_xlfn.NORM.INV(1-Config!B10*AE7/2/(Config!B10-1),0,1),2)</f>
        <v>52.503519316240897</v>
      </c>
      <c r="AF8" s="12">
        <f>(Config!C10*Config!C10-1)/3*POWER(_xlfn.NORM.INV(1-Config!C10*AF7/2/(Config!C10-1),0,1),2)</f>
        <v>52.503519316240897</v>
      </c>
    </row>
    <row r="9" spans="1:32" ht="15.75" thickBot="1" x14ac:dyDescent="0.3">
      <c r="A9" s="33">
        <f t="shared" si="4"/>
        <v>360000000</v>
      </c>
      <c r="B9" s="1">
        <f>Calculate[[#This Row],[Freq]]-A8</f>
        <v>45000000</v>
      </c>
      <c r="C9" s="1">
        <f>Channels!B9*cable_length</f>
        <v>-4.7859673220043044</v>
      </c>
      <c r="D9" s="1">
        <f>Channels!C9*PCB_trace_length</f>
        <v>-0.17053200000000002</v>
      </c>
      <c r="E9" s="1">
        <f>Calculate[[#This Row],[IL_Cable]]+Calculate[[#This Row],[IL_PCB]]</f>
        <v>-4.9564993220043041</v>
      </c>
      <c r="F9" s="2">
        <f>Masks!A9</f>
        <v>-97.369691014985335</v>
      </c>
      <c r="G9" s="2">
        <f>Masks!B9</f>
        <v>-97.369691014985335</v>
      </c>
      <c r="H9" s="2">
        <f>Calculate[[#This Row],[Tx_PSD_us]]+Calculate[[#This Row],[IL]]</f>
        <v>-102.32619033698964</v>
      </c>
      <c r="I9" s="2">
        <f>Calculate[[#This Row],[Tx_PSD_ds]]+Calculate[[#This Row],[IL]]</f>
        <v>-102.32619033698964</v>
      </c>
      <c r="J9" s="2">
        <f>Masks[[#This Row],[channel_echo]]</f>
        <v>-20.405514218225246</v>
      </c>
      <c r="K9" s="2">
        <f>Masks[[#This Row],[channel_echo]]</f>
        <v>-20.405514218225246</v>
      </c>
      <c r="L9" s="2">
        <f>Calculate[[#This Row],[Echo_transfer_us]]+Calculate[[#This Row],[Tx_PSD_ds]]</f>
        <v>-117.77520523321058</v>
      </c>
      <c r="M9" s="2">
        <f>Calculate[[#This Row],[Echo_transfer_ds]]+Calculate[[#This Row],[Tx_PSD_us]]</f>
        <v>-117.77520523321058</v>
      </c>
      <c r="N9" s="2">
        <f t="shared" si="0"/>
        <v>-140</v>
      </c>
      <c r="O9" s="2">
        <f t="shared" si="1"/>
        <v>-140</v>
      </c>
      <c r="P9" s="2">
        <f t="shared" si="2"/>
        <v>6</v>
      </c>
      <c r="Q9" s="2">
        <f t="shared" si="3"/>
        <v>6</v>
      </c>
      <c r="R9" s="2">
        <f>10*LOG10((10^(Calculate[[#This Row],[Rx_echo_us]]/10))-(10^((Masks[[#This Row],[connector_echo]]+Calculate[[#This Row],[Tx_PSD_ds]])/10))*EC_conector_ratio_us)-Calculate[[#This Row],[EC_cancelation_us]]</f>
        <v>-145.01050476164832</v>
      </c>
      <c r="S9" s="2">
        <f>10*LOG10((10^(Calculate[[#This Row],[Rx_echo_ds]]/10))-(10^((Masks[[#This Row],[connector_echo]]+Calculate[[#This Row],[Tx_PSD_us]])/10))*EC_conector_ratio_ds)-Calculate[[#This Row],[EC_cancelation_ds]]</f>
        <v>-145.01050476164832</v>
      </c>
      <c r="T9" s="1">
        <f>(POWER(10,Calculate[[#This Row],[AFE_noise_us]]/10)+POWER(10,Calculate[[#This Row],[Echo_res_us]]/10))</f>
        <v>1.3154637952173863E-14</v>
      </c>
      <c r="U9" s="1">
        <f>(POWER(10,Calculate[[#This Row],[AFE_noise_ds]]/10)+POWER(10,Calculate[[#This Row],[Echo_res_ds]]/10))</f>
        <v>1.3154637952173863E-14</v>
      </c>
      <c r="V9" s="2">
        <f>10*LOG10(Calculate[[#This Row],[Linear_Noise_us]])</f>
        <v>-138.80921100260667</v>
      </c>
      <c r="W9" s="2">
        <f>10*LOG10(Calculate[[#This Row],[Linear_Noise_ds]])</f>
        <v>-138.80921100260667</v>
      </c>
      <c r="X9" s="2">
        <f>Calculate[[#This Row],[Rx_PSD_us]]-Calculate[[#This Row],[Noise_us]]</f>
        <v>36.483020665617033</v>
      </c>
      <c r="Y9" s="2">
        <f>Calculate[[#This Row],[Rx_PSD_ds]]-Calculate[[#This Row],[Noise_ds]]</f>
        <v>36.483020665617033</v>
      </c>
      <c r="Z9" s="2">
        <f>POWER(10,Calculate[[#This Row],[SNRdB_us]]/10)</f>
        <v>4449.4063119024759</v>
      </c>
      <c r="AA9" s="2">
        <f>POWER(10,Calculate[[#This Row],[SNRdB_ds]]/10)</f>
        <v>4449.4063119024759</v>
      </c>
      <c r="AB9" s="2">
        <f>-(0.002*Calculate[[#This Row],[Freq]]/1000000/2.5+0.68*(Calculate[[#This Row],[Freq]]/1000000/2.5)^0.45)</f>
        <v>-6.6526134779391164</v>
      </c>
      <c r="AC9" s="2"/>
      <c r="AD9" s="13" t="s">
        <v>49</v>
      </c>
      <c r="AE9" s="8">
        <f>10*LOG10(AE8)</f>
        <v>17.20188415184953</v>
      </c>
      <c r="AF9" s="8">
        <f>10*LOG10(AF8)</f>
        <v>17.20188415184953</v>
      </c>
    </row>
    <row r="10" spans="1:32" ht="15.75" thickBot="1" x14ac:dyDescent="0.3">
      <c r="A10" s="33">
        <f t="shared" si="4"/>
        <v>405000000</v>
      </c>
      <c r="B10" s="1">
        <f>Calculate[[#This Row],[Freq]]-A9</f>
        <v>45000000</v>
      </c>
      <c r="C10" s="1">
        <f>Channels!B10*cable_length</f>
        <v>-5.0997725875700182</v>
      </c>
      <c r="D10" s="1">
        <f>Channels!C10*PCB_trace_length</f>
        <v>-0.18767927913133242</v>
      </c>
      <c r="E10" s="1">
        <f>Calculate[[#This Row],[IL_Cable]]+Calculate[[#This Row],[IL_PCB]]</f>
        <v>-5.2874518667013506</v>
      </c>
      <c r="F10" s="2">
        <f>Masks!A10</f>
        <v>-97.372179436347551</v>
      </c>
      <c r="G10" s="2">
        <f>Masks!B10</f>
        <v>-97.372179436347551</v>
      </c>
      <c r="H10" s="2">
        <f>Calculate[[#This Row],[Tx_PSD_us]]+Calculate[[#This Row],[IL]]</f>
        <v>-102.6596313030489</v>
      </c>
      <c r="I10" s="2">
        <f>Calculate[[#This Row],[Tx_PSD_ds]]+Calculate[[#This Row],[IL]]</f>
        <v>-102.6596313030489</v>
      </c>
      <c r="J10" s="2">
        <f>Masks[[#This Row],[channel_echo]]</f>
        <v>-20.055272868983213</v>
      </c>
      <c r="K10" s="2">
        <f>Masks[[#This Row],[channel_echo]]</f>
        <v>-20.055272868983213</v>
      </c>
      <c r="L10" s="2">
        <f>Calculate[[#This Row],[Echo_transfer_us]]+Calculate[[#This Row],[Tx_PSD_ds]]</f>
        <v>-117.42745230533076</v>
      </c>
      <c r="M10" s="2">
        <f>Calculate[[#This Row],[Echo_transfer_ds]]+Calculate[[#This Row],[Tx_PSD_us]]</f>
        <v>-117.42745230533076</v>
      </c>
      <c r="N10" s="2">
        <f t="shared" si="0"/>
        <v>-140</v>
      </c>
      <c r="O10" s="2">
        <f t="shared" si="1"/>
        <v>-140</v>
      </c>
      <c r="P10" s="2">
        <f t="shared" si="2"/>
        <v>6</v>
      </c>
      <c r="Q10" s="2">
        <f t="shared" si="3"/>
        <v>6</v>
      </c>
      <c r="R10" s="2">
        <f>10*LOG10((10^(Calculate[[#This Row],[Rx_echo_us]]/10))-(10^((Masks[[#This Row],[connector_echo]]+Calculate[[#This Row],[Tx_PSD_ds]])/10))*EC_conector_ratio_us)-Calculate[[#This Row],[EC_cancelation_us]]</f>
        <v>-145.01299318300858</v>
      </c>
      <c r="S10" s="2">
        <f>10*LOG10((10^(Calculate[[#This Row],[Rx_echo_ds]]/10))-(10^((Masks[[#This Row],[connector_echo]]+Calculate[[#This Row],[Tx_PSD_us]])/10))*EC_conector_ratio_ds)-Calculate[[#This Row],[EC_cancelation_ds]]</f>
        <v>-145.01299318300858</v>
      </c>
      <c r="T10" s="1">
        <f>(POWER(10,Calculate[[#This Row],[AFE_noise_us]]/10)+POWER(10,Calculate[[#This Row],[Echo_res_us]]/10))</f>
        <v>1.31528309248563E-14</v>
      </c>
      <c r="U10" s="1">
        <f>(POWER(10,Calculate[[#This Row],[AFE_noise_ds]]/10)+POWER(10,Calculate[[#This Row],[Echo_res_ds]]/10))</f>
        <v>1.31528309248563E-14</v>
      </c>
      <c r="V10" s="2">
        <f>10*LOG10(Calculate[[#This Row],[Linear_Noise_us]])</f>
        <v>-138.80980762556388</v>
      </c>
      <c r="W10" s="2">
        <f>10*LOG10(Calculate[[#This Row],[Linear_Noise_ds]])</f>
        <v>-138.80980762556388</v>
      </c>
      <c r="X10" s="2">
        <f>Calculate[[#This Row],[Rx_PSD_us]]-Calculate[[#This Row],[Noise_us]]</f>
        <v>36.15017632251498</v>
      </c>
      <c r="Y10" s="2">
        <f>Calculate[[#This Row],[Rx_PSD_ds]]-Calculate[[#This Row],[Noise_ds]]</f>
        <v>36.15017632251498</v>
      </c>
      <c r="Z10" s="2">
        <f>POWER(10,Calculate[[#This Row],[SNRdB_us]]/10)</f>
        <v>4121.1425049712097</v>
      </c>
      <c r="AA10" s="2">
        <f>POWER(10,Calculate[[#This Row],[SNRdB_ds]]/10)</f>
        <v>4121.1425049712097</v>
      </c>
      <c r="AB10" s="2">
        <f>-(0.002*Calculate[[#This Row],[Freq]]/1000000/2.5+0.68*(Calculate[[#This Row],[Freq]]/1000000/2.5)^0.45)</f>
        <v>-7.0350530095023451</v>
      </c>
      <c r="AC10" s="2"/>
    </row>
    <row r="11" spans="1:32" ht="15.75" thickBot="1" x14ac:dyDescent="0.3">
      <c r="A11" s="33">
        <f t="shared" si="4"/>
        <v>450000000</v>
      </c>
      <c r="B11" s="1">
        <f>Calculate[[#This Row],[Freq]]-A10</f>
        <v>45000000</v>
      </c>
      <c r="C11" s="1">
        <f>Channels!B11*cable_length</f>
        <v>-5.3990491712440027</v>
      </c>
      <c r="D11" s="1">
        <f>Channels!C11*PCB_trace_length</f>
        <v>-0.20461360247099319</v>
      </c>
      <c r="E11" s="1">
        <f>Calculate[[#This Row],[IL_Cable]]+Calculate[[#This Row],[IL_PCB]]</f>
        <v>-5.603662773714996</v>
      </c>
      <c r="F11" s="2">
        <f>Masks!A11</f>
        <v>-97.374960950824729</v>
      </c>
      <c r="G11" s="2">
        <f>Masks!B11</f>
        <v>-97.374960950824729</v>
      </c>
      <c r="H11" s="2">
        <f>Calculate[[#This Row],[Tx_PSD_us]]+Calculate[[#This Row],[IL]]</f>
        <v>-102.97862372453973</v>
      </c>
      <c r="I11" s="2">
        <f>Calculate[[#This Row],[Tx_PSD_ds]]+Calculate[[#This Row],[IL]]</f>
        <v>-102.97862372453973</v>
      </c>
      <c r="J11" s="2">
        <f>Masks[[#This Row],[channel_echo]]</f>
        <v>-19.731181332890216</v>
      </c>
      <c r="K11" s="2">
        <f>Masks[[#This Row],[channel_echo]]</f>
        <v>-19.731181332890216</v>
      </c>
      <c r="L11" s="2">
        <f>Calculate[[#This Row],[Echo_transfer_us]]+Calculate[[#This Row],[Tx_PSD_ds]]</f>
        <v>-117.10614228371495</v>
      </c>
      <c r="M11" s="2">
        <f>Calculate[[#This Row],[Echo_transfer_ds]]+Calculate[[#This Row],[Tx_PSD_us]]</f>
        <v>-117.10614228371495</v>
      </c>
      <c r="N11" s="2">
        <f t="shared" si="0"/>
        <v>-140</v>
      </c>
      <c r="O11" s="2">
        <f t="shared" si="1"/>
        <v>-140</v>
      </c>
      <c r="P11" s="2">
        <f t="shared" si="2"/>
        <v>6</v>
      </c>
      <c r="Q11" s="2">
        <f t="shared" si="3"/>
        <v>6</v>
      </c>
      <c r="R11" s="2">
        <f>10*LOG10((10^(Calculate[[#This Row],[Rx_echo_us]]/10))-(10^((Masks[[#This Row],[connector_echo]]+Calculate[[#This Row],[Tx_PSD_ds]])/10))*EC_conector_ratio_us)-Calculate[[#This Row],[EC_cancelation_us]]</f>
        <v>-145.01577469748435</v>
      </c>
      <c r="S11" s="2">
        <f>10*LOG10((10^(Calculate[[#This Row],[Rx_echo_ds]]/10))-(10^((Masks[[#This Row],[connector_echo]]+Calculate[[#This Row],[Tx_PSD_us]])/10))*EC_conector_ratio_ds)-Calculate[[#This Row],[EC_cancelation_ds]]</f>
        <v>-145.01577469748435</v>
      </c>
      <c r="T11" s="1">
        <f>(POWER(10,Calculate[[#This Row],[AFE_noise_us]]/10)+POWER(10,Calculate[[#This Row],[Echo_res_us]]/10))</f>
        <v>1.3150812286009583E-14</v>
      </c>
      <c r="U11" s="1">
        <f>(POWER(10,Calculate[[#This Row],[AFE_noise_ds]]/10)+POWER(10,Calculate[[#This Row],[Echo_res_ds]]/10))</f>
        <v>1.3150812286009583E-14</v>
      </c>
      <c r="V11" s="2">
        <f>10*LOG10(Calculate[[#This Row],[Linear_Noise_us]])</f>
        <v>-138.81047421285504</v>
      </c>
      <c r="W11" s="2">
        <f>10*LOG10(Calculate[[#This Row],[Linear_Noise_ds]])</f>
        <v>-138.81047421285504</v>
      </c>
      <c r="X11" s="2">
        <f>Calculate[[#This Row],[Rx_PSD_us]]-Calculate[[#This Row],[Noise_us]]</f>
        <v>35.831850488315311</v>
      </c>
      <c r="Y11" s="2">
        <f>Calculate[[#This Row],[Rx_PSD_ds]]-Calculate[[#This Row],[Noise_ds]]</f>
        <v>35.831850488315311</v>
      </c>
      <c r="Z11" s="2">
        <f>POWER(10,Calculate[[#This Row],[SNRdB_us]]/10)</f>
        <v>3829.8789612886903</v>
      </c>
      <c r="AA11" s="2">
        <f>POWER(10,Calculate[[#This Row],[SNRdB_ds]]/10)</f>
        <v>3829.8789612886903</v>
      </c>
      <c r="AB11" s="2">
        <f>-(0.002*Calculate[[#This Row],[Freq]]/1000000/2.5+0.68*(Calculate[[#This Row],[Freq]]/1000000/2.5)^0.45)</f>
        <v>-7.3969026022902815</v>
      </c>
      <c r="AC11" s="2"/>
      <c r="AD11" s="13" t="s">
        <v>80</v>
      </c>
      <c r="AE11" s="107">
        <f>f_max/200</f>
        <v>45000000</v>
      </c>
      <c r="AF11" s="108"/>
    </row>
    <row r="12" spans="1:32" x14ac:dyDescent="0.25">
      <c r="A12" s="33">
        <f t="shared" si="4"/>
        <v>495000000</v>
      </c>
      <c r="B12" s="1">
        <f>Calculate[[#This Row],[Freq]]-A11</f>
        <v>45000000</v>
      </c>
      <c r="C12" s="1">
        <f>Channels!B12*cable_length</f>
        <v>-5.685930114120759</v>
      </c>
      <c r="D12" s="1">
        <f>Channels!C12*PCB_trace_length</f>
        <v>-0.22136623530913957</v>
      </c>
      <c r="E12" s="1">
        <f>Calculate[[#This Row],[IL_Cable]]+Calculate[[#This Row],[IL_PCB]]</f>
        <v>-5.9072963494298989</v>
      </c>
      <c r="F12" s="2">
        <f>Masks!A12</f>
        <v>-97.378035671122277</v>
      </c>
      <c r="G12" s="2">
        <f>Masks!B12</f>
        <v>-97.378035671122277</v>
      </c>
      <c r="H12" s="2">
        <f>Calculate[[#This Row],[Tx_PSD_us]]+Calculate[[#This Row],[IL]]</f>
        <v>-103.28533202055218</v>
      </c>
      <c r="I12" s="2">
        <f>Calculate[[#This Row],[Tx_PSD_ds]]+Calculate[[#This Row],[IL]]</f>
        <v>-103.28533202055218</v>
      </c>
      <c r="J12" s="2">
        <f>Masks[[#This Row],[channel_echo]]</f>
        <v>-19.429604628419273</v>
      </c>
      <c r="K12" s="2">
        <f>Masks[[#This Row],[channel_echo]]</f>
        <v>-19.429604628419273</v>
      </c>
      <c r="L12" s="2">
        <f>Calculate[[#This Row],[Echo_transfer_us]]+Calculate[[#This Row],[Tx_PSD_ds]]</f>
        <v>-116.80764029954155</v>
      </c>
      <c r="M12" s="2">
        <f>Calculate[[#This Row],[Echo_transfer_ds]]+Calculate[[#This Row],[Tx_PSD_us]]</f>
        <v>-116.80764029954155</v>
      </c>
      <c r="N12" s="2">
        <f t="shared" si="0"/>
        <v>-140</v>
      </c>
      <c r="O12" s="2">
        <f t="shared" si="1"/>
        <v>-140</v>
      </c>
      <c r="P12" s="2">
        <f t="shared" si="2"/>
        <v>6</v>
      </c>
      <c r="Q12" s="2">
        <f t="shared" si="3"/>
        <v>6</v>
      </c>
      <c r="R12" s="2">
        <f>10*LOG10((10^(Calculate[[#This Row],[Rx_echo_us]]/10))-(10^((Masks[[#This Row],[connector_echo]]+Calculate[[#This Row],[Tx_PSD_ds]])/10))*EC_conector_ratio_us)-Calculate[[#This Row],[EC_cancelation_us]]</f>
        <v>-145.01884941778144</v>
      </c>
      <c r="S12" s="2">
        <f>10*LOG10((10^(Calculate[[#This Row],[Rx_echo_ds]]/10))-(10^((Masks[[#This Row],[connector_echo]]+Calculate[[#This Row],[Tx_PSD_us]])/10))*EC_conector_ratio_ds)-Calculate[[#This Row],[EC_cancelation_ds]]</f>
        <v>-145.01884941778144</v>
      </c>
      <c r="T12" s="1">
        <f>(POWER(10,Calculate[[#This Row],[AFE_noise_us]]/10)+POWER(10,Calculate[[#This Row],[Echo_res_us]]/10))</f>
        <v>1.3148582361778317E-14</v>
      </c>
      <c r="U12" s="1">
        <f>(POWER(10,Calculate[[#This Row],[AFE_noise_ds]]/10)+POWER(10,Calculate[[#This Row],[Echo_res_ds]]/10))</f>
        <v>1.3148582361778317E-14</v>
      </c>
      <c r="V12" s="2">
        <f>10*LOG10(Calculate[[#This Row],[Linear_Noise_us]])</f>
        <v>-138.81121068896331</v>
      </c>
      <c r="W12" s="2">
        <f>10*LOG10(Calculate[[#This Row],[Linear_Noise_ds]])</f>
        <v>-138.81121068896331</v>
      </c>
      <c r="X12" s="2">
        <f>Calculate[[#This Row],[Rx_PSD_us]]-Calculate[[#This Row],[Noise_us]]</f>
        <v>35.525878668411139</v>
      </c>
      <c r="Y12" s="2">
        <f>Calculate[[#This Row],[Rx_PSD_ds]]-Calculate[[#This Row],[Noise_ds]]</f>
        <v>35.525878668411139</v>
      </c>
      <c r="Z12" s="2">
        <f>POWER(10,Calculate[[#This Row],[SNRdB_us]]/10)</f>
        <v>3569.3395717044095</v>
      </c>
      <c r="AA12" s="2">
        <f>POWER(10,Calculate[[#This Row],[SNRdB_ds]]/10)</f>
        <v>3569.3395717044095</v>
      </c>
      <c r="AB12" s="2">
        <f>-(0.002*Calculate[[#This Row],[Freq]]/1000000/2.5+0.68*(Calculate[[#This Row],[Freq]]/1000000/2.5)^0.45)</f>
        <v>-7.7412781852051582</v>
      </c>
      <c r="AC12" s="2"/>
      <c r="AD12" s="25" t="s">
        <v>62</v>
      </c>
      <c r="AE12" s="29">
        <f>Config!B4*1000000000*AE14/LOG(Config!B10,2)/Config!B15*(1+Config!B16)</f>
        <v>14062500000.000002</v>
      </c>
      <c r="AF12" s="29">
        <f>Config!C4*1000000000*AF14/LOG(Config!C10,2)/Config!C15*(1+Config!C16)</f>
        <v>14062500000.000002</v>
      </c>
    </row>
    <row r="13" spans="1:32" x14ac:dyDescent="0.25">
      <c r="A13" s="33">
        <f t="shared" si="4"/>
        <v>540000000</v>
      </c>
      <c r="B13" s="1">
        <f>Calculate[[#This Row],[Freq]]-A12</f>
        <v>45000000</v>
      </c>
      <c r="C13" s="1">
        <f>Channels!B13*cable_length</f>
        <v>-5.9620725769509502</v>
      </c>
      <c r="D13" s="1">
        <f>Channels!C13*PCB_trace_length</f>
        <v>-0.23796146766617499</v>
      </c>
      <c r="E13" s="1">
        <f>Calculate[[#This Row],[IL_Cable]]+Calculate[[#This Row],[IL_PCB]]</f>
        <v>-6.2000340446171247</v>
      </c>
      <c r="F13" s="2">
        <f>Masks!A13</f>
        <v>-97.381403721889328</v>
      </c>
      <c r="G13" s="2">
        <f>Masks!B13</f>
        <v>-97.381403721889328</v>
      </c>
      <c r="H13" s="2">
        <f>Calculate[[#This Row],[Tx_PSD_us]]+Calculate[[#This Row],[IL]]</f>
        <v>-103.58143776650645</v>
      </c>
      <c r="I13" s="2">
        <f>Calculate[[#This Row],[Tx_PSD_ds]]+Calculate[[#This Row],[IL]]</f>
        <v>-103.58143776650645</v>
      </c>
      <c r="J13" s="2">
        <f>Masks[[#This Row],[channel_echo]]</f>
        <v>-19.147616694428201</v>
      </c>
      <c r="K13" s="2">
        <f>Masks[[#This Row],[channel_echo]]</f>
        <v>-19.147616694428201</v>
      </c>
      <c r="L13" s="2">
        <f>Calculate[[#This Row],[Echo_transfer_us]]+Calculate[[#This Row],[Tx_PSD_ds]]</f>
        <v>-116.52902041631754</v>
      </c>
      <c r="M13" s="2">
        <f>Calculate[[#This Row],[Echo_transfer_ds]]+Calculate[[#This Row],[Tx_PSD_us]]</f>
        <v>-116.52902041631754</v>
      </c>
      <c r="N13" s="2">
        <f t="shared" si="0"/>
        <v>-140</v>
      </c>
      <c r="O13" s="2">
        <f t="shared" si="1"/>
        <v>-140</v>
      </c>
      <c r="P13" s="2">
        <f t="shared" si="2"/>
        <v>6</v>
      </c>
      <c r="Q13" s="2">
        <f t="shared" si="3"/>
        <v>6</v>
      </c>
      <c r="R13" s="2">
        <f>10*LOG10((10^(Calculate[[#This Row],[Rx_echo_us]]/10))-(10^((Masks[[#This Row],[connector_echo]]+Calculate[[#This Row],[Tx_PSD_ds]])/10))*EC_conector_ratio_us)-Calculate[[#This Row],[EC_cancelation_us]]</f>
        <v>-145.02221746854903</v>
      </c>
      <c r="S13" s="2">
        <f>10*LOG10((10^(Calculate[[#This Row],[Rx_echo_ds]]/10))-(10^((Masks[[#This Row],[connector_echo]]+Calculate[[#This Row],[Tx_PSD_us]])/10))*EC_conector_ratio_ds)-Calculate[[#This Row],[EC_cancelation_ds]]</f>
        <v>-145.02221746854903</v>
      </c>
      <c r="T13" s="1">
        <f>(POWER(10,Calculate[[#This Row],[AFE_noise_us]]/10)+POWER(10,Calculate[[#This Row],[Echo_res_us]]/10))</f>
        <v>1.3146141512378092E-14</v>
      </c>
      <c r="U13" s="1">
        <f>(POWER(10,Calculate[[#This Row],[AFE_noise_ds]]/10)+POWER(10,Calculate[[#This Row],[Echo_res_ds]]/10))</f>
        <v>1.3146141512378092E-14</v>
      </c>
      <c r="V13" s="2">
        <f>10*LOG10(Calculate[[#This Row],[Linear_Noise_us]])</f>
        <v>-138.81201697043164</v>
      </c>
      <c r="W13" s="2">
        <f>10*LOG10(Calculate[[#This Row],[Linear_Noise_ds]])</f>
        <v>-138.81201697043164</v>
      </c>
      <c r="X13" s="2">
        <f>Calculate[[#This Row],[Rx_PSD_us]]-Calculate[[#This Row],[Noise_us]]</f>
        <v>35.230579203925188</v>
      </c>
      <c r="Y13" s="2">
        <f>Calculate[[#This Row],[Rx_PSD_ds]]-Calculate[[#This Row],[Noise_ds]]</f>
        <v>35.230579203925188</v>
      </c>
      <c r="Z13" s="2">
        <f>POWER(10,Calculate[[#This Row],[SNRdB_us]]/10)</f>
        <v>3334.7088368645918</v>
      </c>
      <c r="AA13" s="2">
        <f>POWER(10,Calculate[[#This Row],[SNRdB_ds]]/10)</f>
        <v>3334.7088368645918</v>
      </c>
      <c r="AB13" s="2">
        <f>-(0.002*Calculate[[#This Row],[Freq]]/1000000/2.5+0.68*(Calculate[[#This Row],[Freq]]/1000000/2.5)^0.45)</f>
        <v>-8.0705882543810876</v>
      </c>
      <c r="AC13" s="2"/>
      <c r="AD13" s="26" t="s">
        <v>63</v>
      </c>
      <c r="AE13" s="30">
        <f>AE12/2</f>
        <v>7031250000.000001</v>
      </c>
      <c r="AF13" s="43">
        <f>AF12/2</f>
        <v>7031250000.000001</v>
      </c>
    </row>
    <row r="14" spans="1:32" ht="15.75" thickBot="1" x14ac:dyDescent="0.3">
      <c r="A14" s="33">
        <f t="shared" si="4"/>
        <v>585000000</v>
      </c>
      <c r="B14" s="1">
        <f>Calculate[[#This Row],[Freq]]-A13</f>
        <v>45000000</v>
      </c>
      <c r="C14" s="1">
        <f>Channels!B14*cable_length</f>
        <v>-6.2287944126856614</v>
      </c>
      <c r="D14" s="1">
        <f>Channels!C14*PCB_trace_length</f>
        <v>-0.25441861612020317</v>
      </c>
      <c r="E14" s="1">
        <f>Calculate[[#This Row],[IL_Cable]]+Calculate[[#This Row],[IL_PCB]]</f>
        <v>-6.4832130288058645</v>
      </c>
      <c r="F14" s="2">
        <f>Masks!A14</f>
        <v>-97.385065239742929</v>
      </c>
      <c r="G14" s="2">
        <f>Masks!B14</f>
        <v>-97.385065239742929</v>
      </c>
      <c r="H14" s="2">
        <f>Calculate[[#This Row],[Tx_PSD_us]]+Calculate[[#This Row],[IL]]</f>
        <v>-103.86827826854879</v>
      </c>
      <c r="I14" s="2">
        <f>Calculate[[#This Row],[Tx_PSD_ds]]+Calculate[[#This Row],[IL]]</f>
        <v>-103.86827826854879</v>
      </c>
      <c r="J14" s="2">
        <f>Masks[[#This Row],[channel_echo]]</f>
        <v>-18.882827244207171</v>
      </c>
      <c r="K14" s="2">
        <f>Masks[[#This Row],[channel_echo]]</f>
        <v>-18.882827244207171</v>
      </c>
      <c r="L14" s="2">
        <f>Calculate[[#This Row],[Echo_transfer_us]]+Calculate[[#This Row],[Tx_PSD_ds]]</f>
        <v>-116.26789248395011</v>
      </c>
      <c r="M14" s="2">
        <f>Calculate[[#This Row],[Echo_transfer_ds]]+Calculate[[#This Row],[Tx_PSD_us]]</f>
        <v>-116.26789248395011</v>
      </c>
      <c r="N14" s="2">
        <f t="shared" si="0"/>
        <v>-140</v>
      </c>
      <c r="O14" s="2">
        <f t="shared" si="1"/>
        <v>-140</v>
      </c>
      <c r="P14" s="2">
        <f t="shared" si="2"/>
        <v>6</v>
      </c>
      <c r="Q14" s="2">
        <f t="shared" si="3"/>
        <v>6</v>
      </c>
      <c r="R14" s="2">
        <f>10*LOG10((10^(Calculate[[#This Row],[Rx_echo_us]]/10))-(10^((Masks[[#This Row],[connector_echo]]+Calculate[[#This Row],[Tx_PSD_ds]])/10))*EC_conector_ratio_us)-Calculate[[#This Row],[EC_cancelation_us]]</f>
        <v>-145.02587898640425</v>
      </c>
      <c r="S14" s="2">
        <f>10*LOG10((10^(Calculate[[#This Row],[Rx_echo_ds]]/10))-(10^((Masks[[#This Row],[connector_echo]]+Calculate[[#This Row],[Tx_PSD_us]])/10))*EC_conector_ratio_ds)-Calculate[[#This Row],[EC_cancelation_ds]]</f>
        <v>-145.02587898640425</v>
      </c>
      <c r="T14" s="1">
        <f>(POWER(10,Calculate[[#This Row],[AFE_noise_us]]/10)+POWER(10,Calculate[[#This Row],[Echo_res_us]]/10))</f>
        <v>1.3143490132017058E-14</v>
      </c>
      <c r="U14" s="1">
        <f>(POWER(10,Calculate[[#This Row],[AFE_noise_ds]]/10)+POWER(10,Calculate[[#This Row],[Echo_res_ds]]/10))</f>
        <v>1.3143490132017058E-14</v>
      </c>
      <c r="V14" s="2">
        <f>10*LOG10(Calculate[[#This Row],[Linear_Noise_us]])</f>
        <v>-138.81289296586567</v>
      </c>
      <c r="W14" s="2">
        <f>10*LOG10(Calculate[[#This Row],[Linear_Noise_ds]])</f>
        <v>-138.81289296586567</v>
      </c>
      <c r="X14" s="2">
        <f>Calculate[[#This Row],[Rx_PSD_us]]-Calculate[[#This Row],[Noise_us]]</f>
        <v>34.944614697316879</v>
      </c>
      <c r="Y14" s="2">
        <f>Calculate[[#This Row],[Rx_PSD_ds]]-Calculate[[#This Row],[Noise_ds]]</f>
        <v>34.944614697316879</v>
      </c>
      <c r="Z14" s="2">
        <f>POWER(10,Calculate[[#This Row],[SNRdB_us]]/10)</f>
        <v>3122.2053943035439</v>
      </c>
      <c r="AA14" s="2">
        <f>POWER(10,Calculate[[#This Row],[SNRdB_ds]]/10)</f>
        <v>3122.2053943035439</v>
      </c>
      <c r="AB14" s="2">
        <f>-(0.002*Calculate[[#This Row],[Freq]]/1000000/2.5+0.68*(Calculate[[#This Row],[Freq]]/1000000/2.5)^0.45)</f>
        <v>-8.3867393572995574</v>
      </c>
      <c r="AC14" s="2"/>
      <c r="AD14" s="28" t="s">
        <v>66</v>
      </c>
      <c r="AE14" s="31">
        <f>Config!B11/Config!B12</f>
        <v>1.1042944785276074</v>
      </c>
      <c r="AF14" s="42">
        <f>Config!C11/Config!C12</f>
        <v>1.1042944785276074</v>
      </c>
    </row>
    <row r="15" spans="1:32" x14ac:dyDescent="0.25">
      <c r="A15" s="33">
        <f t="shared" si="4"/>
        <v>630000000</v>
      </c>
      <c r="B15" s="1">
        <f>Calculate[[#This Row],[Freq]]-A14</f>
        <v>45000000</v>
      </c>
      <c r="C15" s="1">
        <f>Channels!B15*cable_length</f>
        <v>-6.4871641314314834</v>
      </c>
      <c r="D15" s="1">
        <f>Channels!C15*PCB_trace_length</f>
        <v>-0.27075334247849275</v>
      </c>
      <c r="E15" s="1">
        <f>Calculate[[#This Row],[IL_Cable]]+Calculate[[#This Row],[IL_PCB]]</f>
        <v>-6.7579174739099761</v>
      </c>
      <c r="F15" s="2">
        <f>Masks!A15</f>
        <v>-97.389020373294386</v>
      </c>
      <c r="G15" s="2">
        <f>Masks!B15</f>
        <v>-97.389020373294386</v>
      </c>
      <c r="H15" s="2">
        <f>Calculate[[#This Row],[Tx_PSD_us]]+Calculate[[#This Row],[IL]]</f>
        <v>-104.14693784720436</v>
      </c>
      <c r="I15" s="2">
        <f>Calculate[[#This Row],[Tx_PSD_ds]]+Calculate[[#This Row],[IL]]</f>
        <v>-104.14693784720436</v>
      </c>
      <c r="J15" s="2">
        <f>Masks[[#This Row],[channel_echo]]</f>
        <v>-18.633258452455912</v>
      </c>
      <c r="K15" s="2">
        <f>Masks[[#This Row],[channel_echo]]</f>
        <v>-18.633258452455912</v>
      </c>
      <c r="L15" s="2">
        <f>Calculate[[#This Row],[Echo_transfer_us]]+Calculate[[#This Row],[Tx_PSD_ds]]</f>
        <v>-116.02227882575031</v>
      </c>
      <c r="M15" s="2">
        <f>Calculate[[#This Row],[Echo_transfer_ds]]+Calculate[[#This Row],[Tx_PSD_us]]</f>
        <v>-116.02227882575031</v>
      </c>
      <c r="N15" s="2">
        <f t="shared" si="0"/>
        <v>-140</v>
      </c>
      <c r="O15" s="2">
        <f t="shared" si="1"/>
        <v>-140</v>
      </c>
      <c r="P15" s="2">
        <f t="shared" si="2"/>
        <v>6</v>
      </c>
      <c r="Q15" s="2">
        <f t="shared" si="3"/>
        <v>6</v>
      </c>
      <c r="R15" s="2">
        <f>10*LOG10((10^(Calculate[[#This Row],[Rx_echo_us]]/10))-(10^((Masks[[#This Row],[connector_echo]]+Calculate[[#This Row],[Tx_PSD_ds]])/10))*EC_conector_ratio_us)-Calculate[[#This Row],[EC_cancelation_us]]</f>
        <v>-145.02983411995723</v>
      </c>
      <c r="S15" s="2">
        <f>10*LOG10((10^(Calculate[[#This Row],[Rx_echo_ds]]/10))-(10^((Masks[[#This Row],[connector_echo]]+Calculate[[#This Row],[Tx_PSD_us]])/10))*EC_conector_ratio_ds)-Calculate[[#This Row],[EC_cancelation_ds]]</f>
        <v>-145.02983411995723</v>
      </c>
      <c r="T15" s="1">
        <f>(POWER(10,Calculate[[#This Row],[AFE_noise_us]]/10)+POWER(10,Calculate[[#This Row],[Echo_res_us]]/10))</f>
        <v>1.3140628648811657E-14</v>
      </c>
      <c r="U15" s="1">
        <f>(POWER(10,Calculate[[#This Row],[AFE_noise_ds]]/10)+POWER(10,Calculate[[#This Row],[Echo_res_ds]]/10))</f>
        <v>1.3140628648811657E-14</v>
      </c>
      <c r="V15" s="2">
        <f>10*LOG10(Calculate[[#This Row],[Linear_Noise_us]])</f>
        <v>-138.81383857593647</v>
      </c>
      <c r="W15" s="2">
        <f>10*LOG10(Calculate[[#This Row],[Linear_Noise_ds]])</f>
        <v>-138.81383857593647</v>
      </c>
      <c r="X15" s="2">
        <f>Calculate[[#This Row],[Rx_PSD_us]]-Calculate[[#This Row],[Noise_us]]</f>
        <v>34.666900728732116</v>
      </c>
      <c r="Y15" s="2">
        <f>Calculate[[#This Row],[Rx_PSD_ds]]-Calculate[[#This Row],[Noise_ds]]</f>
        <v>34.666900728732116</v>
      </c>
      <c r="Z15" s="2">
        <f>POWER(10,Calculate[[#This Row],[SNRdB_us]]/10)</f>
        <v>2928.8024075398253</v>
      </c>
      <c r="AA15" s="2">
        <f>POWER(10,Calculate[[#This Row],[SNRdB_ds]]/10)</f>
        <v>2928.8024075398253</v>
      </c>
      <c r="AB15" s="2">
        <f>-(0.002*Calculate[[#This Row],[Freq]]/1000000/2.5+0.68*(Calculate[[#This Row],[Freq]]/1000000/2.5)^0.45)</f>
        <v>-8.6912708154882825</v>
      </c>
      <c r="AC15" s="2"/>
    </row>
    <row r="16" spans="1:32" x14ac:dyDescent="0.25">
      <c r="A16" s="33">
        <f t="shared" si="4"/>
        <v>675000000</v>
      </c>
      <c r="B16" s="1">
        <f>Calculate[[#This Row],[Freq]]-A15</f>
        <v>45000000</v>
      </c>
      <c r="C16" s="1">
        <f>Channels!B16*cable_length</f>
        <v>-6.7380623387201517</v>
      </c>
      <c r="D16" s="1">
        <f>Channels!C16*PCB_trace_length</f>
        <v>-0.28697855431583696</v>
      </c>
      <c r="E16" s="1">
        <f>Calculate[[#This Row],[IL_Cable]]+Calculate[[#This Row],[IL_PCB]]</f>
        <v>-7.0250408930359889</v>
      </c>
      <c r="F16" s="2">
        <f>Masks!A16</f>
        <v>-97.393269283178128</v>
      </c>
      <c r="G16" s="2">
        <f>Masks!B16</f>
        <v>-97.393269283178128</v>
      </c>
      <c r="H16" s="2">
        <f>Calculate[[#This Row],[Tx_PSD_us]]+Calculate[[#This Row],[IL]]</f>
        <v>-104.41831017621412</v>
      </c>
      <c r="I16" s="2">
        <f>Calculate[[#This Row],[Tx_PSD_ds]]+Calculate[[#This Row],[IL]]</f>
        <v>-104.41831017621412</v>
      </c>
      <c r="J16" s="2">
        <f>Masks[[#This Row],[channel_echo]]</f>
        <v>-18.397255197146119</v>
      </c>
      <c r="K16" s="2">
        <f>Masks[[#This Row],[channel_echo]]</f>
        <v>-18.397255197146119</v>
      </c>
      <c r="L16" s="2">
        <f>Calculate[[#This Row],[Echo_transfer_us]]+Calculate[[#This Row],[Tx_PSD_ds]]</f>
        <v>-115.79052448032425</v>
      </c>
      <c r="M16" s="2">
        <f>Calculate[[#This Row],[Echo_transfer_ds]]+Calculate[[#This Row],[Tx_PSD_us]]</f>
        <v>-115.79052448032425</v>
      </c>
      <c r="N16" s="2">
        <f t="shared" si="0"/>
        <v>-140</v>
      </c>
      <c r="O16" s="2">
        <f t="shared" si="1"/>
        <v>-140</v>
      </c>
      <c r="P16" s="2">
        <f t="shared" si="2"/>
        <v>6</v>
      </c>
      <c r="Q16" s="2">
        <f t="shared" si="3"/>
        <v>6</v>
      </c>
      <c r="R16" s="2">
        <f>10*LOG10((10^(Calculate[[#This Row],[Rx_echo_us]]/10))-(10^((Masks[[#This Row],[connector_echo]]+Calculate[[#This Row],[Tx_PSD_ds]])/10))*EC_conector_ratio_us)-Calculate[[#This Row],[EC_cancelation_us]]</f>
        <v>-145.03408302983954</v>
      </c>
      <c r="S16" s="2">
        <f>10*LOG10((10^(Calculate[[#This Row],[Rx_echo_ds]]/10))-(10^((Masks[[#This Row],[connector_echo]]+Calculate[[#This Row],[Tx_PSD_us]])/10))*EC_conector_ratio_ds)-Calculate[[#This Row],[EC_cancelation_ds]]</f>
        <v>-145.03408302983954</v>
      </c>
      <c r="T16" s="1">
        <f>(POWER(10,Calculate[[#This Row],[AFE_noise_us]]/10)+POWER(10,Calculate[[#This Row],[Echo_res_us]]/10))</f>
        <v>1.313755752469434E-14</v>
      </c>
      <c r="U16" s="1">
        <f>(POWER(10,Calculate[[#This Row],[AFE_noise_ds]]/10)+POWER(10,Calculate[[#This Row],[Echo_res_ds]]/10))</f>
        <v>1.313755752469434E-14</v>
      </c>
      <c r="V16" s="2">
        <f>10*LOG10(Calculate[[#This Row],[Linear_Noise_us]])</f>
        <v>-138.81485369338381</v>
      </c>
      <c r="W16" s="2">
        <f>10*LOG10(Calculate[[#This Row],[Linear_Noise_ds]])</f>
        <v>-138.81485369338381</v>
      </c>
      <c r="X16" s="2">
        <f>Calculate[[#This Row],[Rx_PSD_us]]-Calculate[[#This Row],[Noise_us]]</f>
        <v>34.39654351716969</v>
      </c>
      <c r="Y16" s="2">
        <f>Calculate[[#This Row],[Rx_PSD_ds]]-Calculate[[#This Row],[Noise_ds]]</f>
        <v>34.39654351716969</v>
      </c>
      <c r="Z16" s="2">
        <f>POWER(10,Calculate[[#This Row],[SNRdB_us]]/10)</f>
        <v>2752.0375272498732</v>
      </c>
      <c r="AA16" s="2">
        <f>POWER(10,Calculate[[#This Row],[SNRdB_ds]]/10)</f>
        <v>2752.0375272498732</v>
      </c>
      <c r="AB16" s="2">
        <f>-(0.002*Calculate[[#This Row],[Freq]]/1000000/2.5+0.68*(Calculate[[#This Row],[Freq]]/1000000/2.5)^0.45)</f>
        <v>-8.985446334077043</v>
      </c>
      <c r="AC16" s="2"/>
    </row>
    <row r="17" spans="1:29" x14ac:dyDescent="0.25">
      <c r="A17" s="33">
        <f t="shared" si="4"/>
        <v>720000000</v>
      </c>
      <c r="B17" s="1">
        <f>Calculate[[#This Row],[Freq]]-A16</f>
        <v>45000000</v>
      </c>
      <c r="C17" s="1">
        <f>Channels!B17*cable_length</f>
        <v>-6.9822249804242347</v>
      </c>
      <c r="D17" s="1">
        <f>Channels!C17*PCB_trace_length</f>
        <v>-0.30310503884177659</v>
      </c>
      <c r="E17" s="1">
        <f>Calculate[[#This Row],[IL_Cable]]+Calculate[[#This Row],[IL_PCB]]</f>
        <v>-7.2853300192660111</v>
      </c>
      <c r="F17" s="2">
        <f>Masks!A17</f>
        <v>-97.397812142082799</v>
      </c>
      <c r="G17" s="2">
        <f>Masks!B17</f>
        <v>-97.397812142082799</v>
      </c>
      <c r="H17" s="2">
        <f>Calculate[[#This Row],[Tx_PSD_us]]+Calculate[[#This Row],[IL]]</f>
        <v>-104.68314216134881</v>
      </c>
      <c r="I17" s="2">
        <f>Calculate[[#This Row],[Tx_PSD_ds]]+Calculate[[#This Row],[IL]]</f>
        <v>-104.68314216134881</v>
      </c>
      <c r="J17" s="2">
        <f>Masks[[#This Row],[channel_echo]]</f>
        <v>-18.17341846269607</v>
      </c>
      <c r="K17" s="2">
        <f>Masks[[#This Row],[channel_echo]]</f>
        <v>-18.17341846269607</v>
      </c>
      <c r="L17" s="2">
        <f>Calculate[[#This Row],[Echo_transfer_us]]+Calculate[[#This Row],[Tx_PSD_ds]]</f>
        <v>-115.57123060477886</v>
      </c>
      <c r="M17" s="2">
        <f>Calculate[[#This Row],[Echo_transfer_ds]]+Calculate[[#This Row],[Tx_PSD_us]]</f>
        <v>-115.57123060477886</v>
      </c>
      <c r="N17" s="2">
        <f t="shared" si="0"/>
        <v>-140</v>
      </c>
      <c r="O17" s="2">
        <f t="shared" si="1"/>
        <v>-140</v>
      </c>
      <c r="P17" s="2">
        <f t="shared" si="2"/>
        <v>6</v>
      </c>
      <c r="Q17" s="2">
        <f t="shared" si="3"/>
        <v>6</v>
      </c>
      <c r="R17" s="2">
        <f>10*LOG10((10^(Calculate[[#This Row],[Rx_echo_us]]/10))-(10^((Masks[[#This Row],[connector_echo]]+Calculate[[#This Row],[Tx_PSD_ds]])/10))*EC_conector_ratio_us)-Calculate[[#This Row],[EC_cancelation_us]]</f>
        <v>-145.03862588874188</v>
      </c>
      <c r="S17" s="2">
        <f>10*LOG10((10^(Calculate[[#This Row],[Rx_echo_ds]]/10))-(10^((Masks[[#This Row],[connector_echo]]+Calculate[[#This Row],[Tx_PSD_us]])/10))*EC_conector_ratio_ds)-Calculate[[#This Row],[EC_cancelation_ds]]</f>
        <v>-145.03862588874188</v>
      </c>
      <c r="T17" s="1">
        <f>(POWER(10,Calculate[[#This Row],[AFE_noise_us]]/10)+POWER(10,Calculate[[#This Row],[Echo_res_us]]/10))</f>
        <v>1.3134277255308743E-14</v>
      </c>
      <c r="U17" s="1">
        <f>(POWER(10,Calculate[[#This Row],[AFE_noise_ds]]/10)+POWER(10,Calculate[[#This Row],[Echo_res_ds]]/10))</f>
        <v>1.3134277255308743E-14</v>
      </c>
      <c r="V17" s="2">
        <f>10*LOG10(Calculate[[#This Row],[Linear_Noise_us]])</f>
        <v>-138.81593820302135</v>
      </c>
      <c r="W17" s="2">
        <f>10*LOG10(Calculate[[#This Row],[Linear_Noise_ds]])</f>
        <v>-138.81593820302135</v>
      </c>
      <c r="X17" s="2">
        <f>Calculate[[#This Row],[Rx_PSD_us]]-Calculate[[#This Row],[Noise_us]]</f>
        <v>34.132796041672535</v>
      </c>
      <c r="Y17" s="2">
        <f>Calculate[[#This Row],[Rx_PSD_ds]]-Calculate[[#This Row],[Noise_ds]]</f>
        <v>34.132796041672535</v>
      </c>
      <c r="Z17" s="2">
        <f>POWER(10,Calculate[[#This Row],[SNRdB_us]]/10)</f>
        <v>2589.8797752042419</v>
      </c>
      <c r="AA17" s="2">
        <f>POWER(10,Calculate[[#This Row],[SNRdB_ds]]/10)</f>
        <v>2589.8797752042419</v>
      </c>
      <c r="AB17" s="2">
        <f>-(0.002*Calculate[[#This Row],[Freq]]/1000000/2.5+0.68*(Calculate[[#This Row],[Freq]]/1000000/2.5)^0.45)</f>
        <v>-9.2703182295464384</v>
      </c>
      <c r="AC17" s="2"/>
    </row>
    <row r="18" spans="1:29" x14ac:dyDescent="0.25">
      <c r="A18" s="33">
        <f t="shared" si="4"/>
        <v>765000000</v>
      </c>
      <c r="B18" s="1">
        <f>Calculate[[#This Row],[Freq]]-A17</f>
        <v>45000000</v>
      </c>
      <c r="C18" s="1">
        <f>Channels!B18*cable_length</f>
        <v>-7.2202745753939679</v>
      </c>
      <c r="D18" s="1">
        <f>Channels!C18*PCB_trace_length</f>
        <v>-0.31914192069649394</v>
      </c>
      <c r="E18" s="1">
        <f>Calculate[[#This Row],[IL_Cable]]+Calculate[[#This Row],[IL_PCB]]</f>
        <v>-7.5394164960904622</v>
      </c>
      <c r="F18" s="2">
        <f>Masks!A18</f>
        <v>-97.402649134784795</v>
      </c>
      <c r="G18" s="2">
        <f>Masks!B18</f>
        <v>-97.402649134784795</v>
      </c>
      <c r="H18" s="2">
        <f>Calculate[[#This Row],[Tx_PSD_us]]+Calculate[[#This Row],[IL]]</f>
        <v>-104.94206563087526</v>
      </c>
      <c r="I18" s="2">
        <f>Calculate[[#This Row],[Tx_PSD_ds]]+Calculate[[#This Row],[IL]]</f>
        <v>-104.94206563087526</v>
      </c>
      <c r="J18" s="2">
        <f>Masks[[#This Row],[channel_echo]]</f>
        <v>-17.960555083171215</v>
      </c>
      <c r="K18" s="2">
        <f>Masks[[#This Row],[channel_echo]]</f>
        <v>-17.960555083171215</v>
      </c>
      <c r="L18" s="2">
        <f>Calculate[[#This Row],[Echo_transfer_us]]+Calculate[[#This Row],[Tx_PSD_ds]]</f>
        <v>-115.36320421795601</v>
      </c>
      <c r="M18" s="2">
        <f>Calculate[[#This Row],[Echo_transfer_ds]]+Calculate[[#This Row],[Tx_PSD_us]]</f>
        <v>-115.36320421795601</v>
      </c>
      <c r="N18" s="2">
        <f t="shared" si="0"/>
        <v>-140</v>
      </c>
      <c r="O18" s="2">
        <f t="shared" si="1"/>
        <v>-140</v>
      </c>
      <c r="P18" s="2">
        <f t="shared" si="2"/>
        <v>6</v>
      </c>
      <c r="Q18" s="2">
        <f t="shared" si="3"/>
        <v>6</v>
      </c>
      <c r="R18" s="2">
        <f>10*LOG10((10^(Calculate[[#This Row],[Rx_echo_us]]/10))-(10^((Masks[[#This Row],[connector_echo]]+Calculate[[#This Row],[Tx_PSD_ds]])/10))*EC_conector_ratio_us)-Calculate[[#This Row],[EC_cancelation_us]]</f>
        <v>-145.04346288144436</v>
      </c>
      <c r="S18" s="2">
        <f>10*LOG10((10^(Calculate[[#This Row],[Rx_echo_ds]]/10))-(10^((Masks[[#This Row],[connector_echo]]+Calculate[[#This Row],[Tx_PSD_us]])/10))*EC_conector_ratio_ds)-Calculate[[#This Row],[EC_cancelation_ds]]</f>
        <v>-145.04346288144436</v>
      </c>
      <c r="T18" s="1">
        <f>(POWER(10,Calculate[[#This Row],[AFE_noise_us]]/10)+POWER(10,Calculate[[#This Row],[Echo_res_us]]/10))</f>
        <v>1.3130788369904971E-14</v>
      </c>
      <c r="U18" s="1">
        <f>(POWER(10,Calculate[[#This Row],[AFE_noise_ds]]/10)+POWER(10,Calculate[[#This Row],[Echo_res_ds]]/10))</f>
        <v>1.3130788369904971E-14</v>
      </c>
      <c r="V18" s="2">
        <f>10*LOG10(Calculate[[#This Row],[Linear_Noise_us]])</f>
        <v>-138.81709198173974</v>
      </c>
      <c r="W18" s="2">
        <f>10*LOG10(Calculate[[#This Row],[Linear_Noise_ds]])</f>
        <v>-138.81709198173974</v>
      </c>
      <c r="X18" s="2">
        <f>Calculate[[#This Row],[Rx_PSD_us]]-Calculate[[#This Row],[Noise_us]]</f>
        <v>33.875026350864474</v>
      </c>
      <c r="Y18" s="2">
        <f>Calculate[[#This Row],[Rx_PSD_ds]]-Calculate[[#This Row],[Noise_ds]]</f>
        <v>33.875026350864474</v>
      </c>
      <c r="Z18" s="2">
        <f>POWER(10,Calculate[[#This Row],[SNRdB_us]]/10)</f>
        <v>2440.6338765693949</v>
      </c>
      <c r="AA18" s="2">
        <f>POWER(10,Calculate[[#This Row],[SNRdB_ds]]/10)</f>
        <v>2440.6338765693949</v>
      </c>
      <c r="AB18" s="2">
        <f>-(0.002*Calculate[[#This Row],[Freq]]/1000000/2.5+0.68*(Calculate[[#This Row],[Freq]]/1000000/2.5)^0.45)</f>
        <v>-9.5467736476443381</v>
      </c>
      <c r="AC18" s="2"/>
    </row>
    <row r="19" spans="1:29" x14ac:dyDescent="0.25">
      <c r="A19" s="33">
        <f t="shared" si="4"/>
        <v>810000000</v>
      </c>
      <c r="B19" s="1">
        <f>Calculate[[#This Row],[Freq]]-A18</f>
        <v>45000000</v>
      </c>
      <c r="C19" s="1">
        <f>Channels!B19*cable_length</f>
        <v>-7.4527432785027692</v>
      </c>
      <c r="D19" s="1">
        <f>Channels!C19*PCB_trace_length</f>
        <v>-0.33509700000000003</v>
      </c>
      <c r="E19" s="1">
        <f>Calculate[[#This Row],[IL_Cable]]+Calculate[[#This Row],[IL_PCB]]</f>
        <v>-7.7878402785027694</v>
      </c>
      <c r="F19" s="2">
        <f>Masks!A19</f>
        <v>-97.407780458184163</v>
      </c>
      <c r="G19" s="2">
        <f>Masks!B19</f>
        <v>-97.407780458184163</v>
      </c>
      <c r="H19" s="2">
        <f>Calculate[[#This Row],[Tx_PSD_us]]+Calculate[[#This Row],[IL]]</f>
        <v>-105.19562073668693</v>
      </c>
      <c r="I19" s="2">
        <f>Calculate[[#This Row],[Tx_PSD_ds]]+Calculate[[#This Row],[IL]]</f>
        <v>-105.19562073668693</v>
      </c>
      <c r="J19" s="2">
        <f>Masks[[#This Row],[channel_echo]]</f>
        <v>-17.757639238742357</v>
      </c>
      <c r="K19" s="2">
        <f>Masks[[#This Row],[channel_echo]]</f>
        <v>-17.757639238742357</v>
      </c>
      <c r="L19" s="2">
        <f>Calculate[[#This Row],[Echo_transfer_us]]+Calculate[[#This Row],[Tx_PSD_ds]]</f>
        <v>-115.16541969692652</v>
      </c>
      <c r="M19" s="2">
        <f>Calculate[[#This Row],[Echo_transfer_ds]]+Calculate[[#This Row],[Tx_PSD_us]]</f>
        <v>-115.16541969692652</v>
      </c>
      <c r="N19" s="2">
        <f t="shared" si="0"/>
        <v>-140</v>
      </c>
      <c r="O19" s="2">
        <f t="shared" si="1"/>
        <v>-140</v>
      </c>
      <c r="P19" s="2">
        <f t="shared" si="2"/>
        <v>6</v>
      </c>
      <c r="Q19" s="2">
        <f t="shared" si="3"/>
        <v>6</v>
      </c>
      <c r="R19" s="2">
        <f>10*LOG10((10^(Calculate[[#This Row],[Rx_echo_us]]/10))-(10^((Masks[[#This Row],[connector_echo]]+Calculate[[#This Row],[Tx_PSD_ds]])/10))*EC_conector_ratio_us)-Calculate[[#This Row],[EC_cancelation_us]]</f>
        <v>-145.04859420484914</v>
      </c>
      <c r="S19" s="2">
        <f>10*LOG10((10^(Calculate[[#This Row],[Rx_echo_ds]]/10))-(10^((Masks[[#This Row],[connector_echo]]+Calculate[[#This Row],[Tx_PSD_us]])/10))*EC_conector_ratio_ds)-Calculate[[#This Row],[EC_cancelation_ds]]</f>
        <v>-145.04859420484914</v>
      </c>
      <c r="T19" s="1">
        <f>(POWER(10,Calculate[[#This Row],[AFE_noise_us]]/10)+POWER(10,Calculate[[#This Row],[Echo_res_us]]/10))</f>
        <v>1.3127091431227371E-14</v>
      </c>
      <c r="U19" s="1">
        <f>(POWER(10,Calculate[[#This Row],[AFE_noise_ds]]/10)+POWER(10,Calculate[[#This Row],[Echo_res_ds]]/10))</f>
        <v>1.3127091431227371E-14</v>
      </c>
      <c r="V19" s="2">
        <f>10*LOG10(Calculate[[#This Row],[Linear_Noise_us]])</f>
        <v>-138.81831489851015</v>
      </c>
      <c r="W19" s="2">
        <f>10*LOG10(Calculate[[#This Row],[Linear_Noise_ds]])</f>
        <v>-138.81831489851015</v>
      </c>
      <c r="X19" s="2">
        <f>Calculate[[#This Row],[Rx_PSD_us]]-Calculate[[#This Row],[Noise_us]]</f>
        <v>33.622694161823219</v>
      </c>
      <c r="Y19" s="2">
        <f>Calculate[[#This Row],[Rx_PSD_ds]]-Calculate[[#This Row],[Noise_ds]]</f>
        <v>33.622694161823219</v>
      </c>
      <c r="Z19" s="2">
        <f>POWER(10,Calculate[[#This Row],[SNRdB_us]]/10)</f>
        <v>2302.8699682547926</v>
      </c>
      <c r="AA19" s="2">
        <f>POWER(10,Calculate[[#This Row],[SNRdB_ds]]/10)</f>
        <v>2302.8699682547926</v>
      </c>
      <c r="AB19" s="2">
        <f>-(0.002*Calculate[[#This Row],[Freq]]/1000000/2.5+0.68*(Calculate[[#This Row],[Freq]]/1000000/2.5)^0.45)</f>
        <v>-9.8155685761929412</v>
      </c>
      <c r="AC19" s="2"/>
    </row>
    <row r="20" spans="1:29" x14ac:dyDescent="0.25">
      <c r="A20" s="33">
        <f t="shared" si="4"/>
        <v>855000000</v>
      </c>
      <c r="B20" s="1">
        <f>Calculate[[#This Row],[Freq]]-A19</f>
        <v>45000000</v>
      </c>
      <c r="C20" s="1">
        <f>Channels!B20*cable_length</f>
        <v>-7.6800902433629776</v>
      </c>
      <c r="D20" s="1">
        <f>Channels!C20*PCB_trace_length</f>
        <v>-0.35097700684809746</v>
      </c>
      <c r="E20" s="1">
        <f>Calculate[[#This Row],[IL_Cable]]+Calculate[[#This Row],[IL_PCB]]</f>
        <v>-8.0310672502110751</v>
      </c>
      <c r="F20" s="2">
        <f>Masks!A20</f>
        <v>-97.413206321342912</v>
      </c>
      <c r="G20" s="2">
        <f>Masks!B20</f>
        <v>-97.413206321342912</v>
      </c>
      <c r="H20" s="2">
        <f>Calculate[[#This Row],[Tx_PSD_us]]+Calculate[[#This Row],[IL]]</f>
        <v>-105.44427357155399</v>
      </c>
      <c r="I20" s="2">
        <f>Calculate[[#This Row],[Tx_PSD_ds]]+Calculate[[#This Row],[IL]]</f>
        <v>-105.44427357155399</v>
      </c>
      <c r="J20" s="2">
        <f>Masks[[#This Row],[channel_echo]]</f>
        <v>-17.563782553865018</v>
      </c>
      <c r="K20" s="2">
        <f>Masks[[#This Row],[channel_echo]]</f>
        <v>-17.563782553865018</v>
      </c>
      <c r="L20" s="2">
        <f>Calculate[[#This Row],[Echo_transfer_us]]+Calculate[[#This Row],[Tx_PSD_ds]]</f>
        <v>-114.97698887520792</v>
      </c>
      <c r="M20" s="2">
        <f>Calculate[[#This Row],[Echo_transfer_ds]]+Calculate[[#This Row],[Tx_PSD_us]]</f>
        <v>-114.97698887520792</v>
      </c>
      <c r="N20" s="2">
        <f t="shared" si="0"/>
        <v>-140</v>
      </c>
      <c r="O20" s="2">
        <f t="shared" si="1"/>
        <v>-140</v>
      </c>
      <c r="P20" s="2">
        <f t="shared" si="2"/>
        <v>6</v>
      </c>
      <c r="Q20" s="2">
        <f t="shared" si="3"/>
        <v>6</v>
      </c>
      <c r="R20" s="2">
        <f>10*LOG10((10^(Calculate[[#This Row],[Rx_echo_us]]/10))-(10^((Masks[[#This Row],[connector_echo]]+Calculate[[#This Row],[Tx_PSD_ds]])/10))*EC_conector_ratio_us)-Calculate[[#This Row],[EC_cancelation_us]]</f>
        <v>-145.05402006800432</v>
      </c>
      <c r="S20" s="2">
        <f>10*LOG10((10^(Calculate[[#This Row],[Rx_echo_ds]]/10))-(10^((Masks[[#This Row],[connector_echo]]+Calculate[[#This Row],[Tx_PSD_us]])/10))*EC_conector_ratio_ds)-Calculate[[#This Row],[EC_cancelation_ds]]</f>
        <v>-145.05402006800432</v>
      </c>
      <c r="T20" s="1">
        <f>(POWER(10,Calculate[[#This Row],[AFE_noise_us]]/10)+POWER(10,Calculate[[#This Row],[Echo_res_us]]/10))</f>
        <v>1.3123187035403378E-14</v>
      </c>
      <c r="U20" s="1">
        <f>(POWER(10,Calculate[[#This Row],[AFE_noise_ds]]/10)+POWER(10,Calculate[[#This Row],[Echo_res_ds]]/10))</f>
        <v>1.3123187035403378E-14</v>
      </c>
      <c r="V20" s="2">
        <f>10*LOG10(Calculate[[#This Row],[Linear_Noise_us]])</f>
        <v>-138.81960681438539</v>
      </c>
      <c r="W20" s="2">
        <f>10*LOG10(Calculate[[#This Row],[Linear_Noise_ds]])</f>
        <v>-138.81960681438539</v>
      </c>
      <c r="X20" s="2">
        <f>Calculate[[#This Row],[Rx_PSD_us]]-Calculate[[#This Row],[Noise_us]]</f>
        <v>33.375333242831402</v>
      </c>
      <c r="Y20" s="2">
        <f>Calculate[[#This Row],[Rx_PSD_ds]]-Calculate[[#This Row],[Noise_ds]]</f>
        <v>33.375333242831402</v>
      </c>
      <c r="Z20" s="2">
        <f>POWER(10,Calculate[[#This Row],[SNRdB_us]]/10)</f>
        <v>2175.3709481739743</v>
      </c>
      <c r="AA20" s="2">
        <f>POWER(10,Calculate[[#This Row],[SNRdB_ds]]/10)</f>
        <v>2175.3709481739743</v>
      </c>
      <c r="AB20" s="2">
        <f>-(0.002*Calculate[[#This Row],[Freq]]/1000000/2.5+0.68*(Calculate[[#This Row],[Freq]]/1000000/2.5)^0.45)</f>
        <v>-10.077353369933649</v>
      </c>
      <c r="AC20" s="2"/>
    </row>
    <row r="21" spans="1:29" x14ac:dyDescent="0.25">
      <c r="A21" s="33">
        <f t="shared" si="4"/>
        <v>900000000</v>
      </c>
      <c r="B21" s="1">
        <f>Calculate[[#This Row],[Freq]]-A20</f>
        <v>45000000</v>
      </c>
      <c r="C21" s="1">
        <f>Channels!B21*cable_length</f>
        <v>-7.9027149176066178</v>
      </c>
      <c r="D21" s="1">
        <f>Channels!C21*PCB_trace_length</f>
        <v>-0.36678779618945551</v>
      </c>
      <c r="E21" s="1">
        <f>Calculate[[#This Row],[IL_Cable]]+Calculate[[#This Row],[IL_PCB]]</f>
        <v>-8.2695027137960739</v>
      </c>
      <c r="F21" s="2">
        <f>Masks!A21</f>
        <v>-97.418926945525754</v>
      </c>
      <c r="G21" s="2">
        <f>Masks!B21</f>
        <v>-97.418926945525754</v>
      </c>
      <c r="H21" s="2">
        <f>Calculate[[#This Row],[Tx_PSD_us]]+Calculate[[#This Row],[IL]]</f>
        <v>-105.68842965932183</v>
      </c>
      <c r="I21" s="2">
        <f>Calculate[[#This Row],[Tx_PSD_ds]]+Calculate[[#This Row],[IL]]</f>
        <v>-105.68842965932183</v>
      </c>
      <c r="J21" s="2">
        <f>Masks[[#This Row],[channel_echo]]</f>
        <v>-17.37821058951176</v>
      </c>
      <c r="K21" s="2">
        <f>Masks[[#This Row],[channel_echo]]</f>
        <v>-17.37821058951176</v>
      </c>
      <c r="L21" s="2">
        <f>Calculate[[#This Row],[Echo_transfer_us]]+Calculate[[#This Row],[Tx_PSD_ds]]</f>
        <v>-114.79713753503751</v>
      </c>
      <c r="M21" s="2">
        <f>Calculate[[#This Row],[Echo_transfer_ds]]+Calculate[[#This Row],[Tx_PSD_us]]</f>
        <v>-114.79713753503751</v>
      </c>
      <c r="N21" s="2">
        <f t="shared" si="0"/>
        <v>-140</v>
      </c>
      <c r="O21" s="2">
        <f t="shared" si="1"/>
        <v>-140</v>
      </c>
      <c r="P21" s="2">
        <f t="shared" si="2"/>
        <v>6</v>
      </c>
      <c r="Q21" s="2">
        <f t="shared" si="3"/>
        <v>6</v>
      </c>
      <c r="R21" s="2">
        <f>10*LOG10((10^(Calculate[[#This Row],[Rx_echo_us]]/10))-(10^((Masks[[#This Row],[connector_echo]]+Calculate[[#This Row],[Tx_PSD_ds]])/10))*EC_conector_ratio_us)-Calculate[[#This Row],[EC_cancelation_us]]</f>
        <v>-145.05974069218593</v>
      </c>
      <c r="S21" s="2">
        <f>10*LOG10((10^(Calculate[[#This Row],[Rx_echo_ds]]/10))-(10^((Masks[[#This Row],[connector_echo]]+Calculate[[#This Row],[Tx_PSD_us]])/10))*EC_conector_ratio_ds)-Calculate[[#This Row],[EC_cancelation_ds]]</f>
        <v>-145.05974069218593</v>
      </c>
      <c r="T21" s="1">
        <f>(POWER(10,Calculate[[#This Row],[AFE_noise_us]]/10)+POWER(10,Calculate[[#This Row],[Echo_res_us]]/10))</f>
        <v>1.3119075811784811E-14</v>
      </c>
      <c r="U21" s="1">
        <f>(POWER(10,Calculate[[#This Row],[AFE_noise_ds]]/10)+POWER(10,Calculate[[#This Row],[Echo_res_ds]]/10))</f>
        <v>1.3119075811784811E-14</v>
      </c>
      <c r="V21" s="2">
        <f>10*LOG10(Calculate[[#This Row],[Linear_Noise_us]])</f>
        <v>-138.82096758251458</v>
      </c>
      <c r="W21" s="2">
        <f>10*LOG10(Calculate[[#This Row],[Linear_Noise_ds]])</f>
        <v>-138.82096758251458</v>
      </c>
      <c r="X21" s="2">
        <f>Calculate[[#This Row],[Rx_PSD_us]]-Calculate[[#This Row],[Noise_us]]</f>
        <v>33.132537923192757</v>
      </c>
      <c r="Y21" s="2">
        <f>Calculate[[#This Row],[Rx_PSD_ds]]-Calculate[[#This Row],[Noise_ds]]</f>
        <v>33.132537923192757</v>
      </c>
      <c r="Z21" s="2">
        <f>POWER(10,Calculate[[#This Row],[SNRdB_us]]/10)</f>
        <v>2057.0923651737635</v>
      </c>
      <c r="AA21" s="2">
        <f>POWER(10,Calculate[[#This Row],[SNRdB_ds]]/10)</f>
        <v>2057.0923651737635</v>
      </c>
      <c r="AB21" s="2">
        <f>-(0.002*Calculate[[#This Row],[Freq]]/1000000/2.5+0.68*(Calculate[[#This Row],[Freq]]/1000000/2.5)^0.45)</f>
        <v>-10.33269223758829</v>
      </c>
      <c r="AC21" s="2"/>
    </row>
    <row r="22" spans="1:29" x14ac:dyDescent="0.25">
      <c r="A22" s="33">
        <f t="shared" si="4"/>
        <v>945000000</v>
      </c>
      <c r="B22" s="1">
        <f>Calculate[[#This Row],[Freq]]-A21</f>
        <v>45000000</v>
      </c>
      <c r="C22" s="1">
        <f>Channels!B22*cable_length</f>
        <v>-8.1209673780334501</v>
      </c>
      <c r="D22" s="1">
        <f>Channels!C22*PCB_trace_length</f>
        <v>-0.38253449931420741</v>
      </c>
      <c r="E22" s="1">
        <f>Calculate[[#This Row],[IL_Cable]]+Calculate[[#This Row],[IL_PCB]]</f>
        <v>-8.5035018773476576</v>
      </c>
      <c r="F22" s="2">
        <f>Masks!A22</f>
        <v>-97.424942564243224</v>
      </c>
      <c r="G22" s="2">
        <f>Masks!B22</f>
        <v>-97.424942564243224</v>
      </c>
      <c r="H22" s="2">
        <f>Calculate[[#This Row],[Tx_PSD_us]]+Calculate[[#This Row],[IL]]</f>
        <v>-105.92844444159088</v>
      </c>
      <c r="I22" s="2">
        <f>Calculate[[#This Row],[Tx_PSD_ds]]+Calculate[[#This Row],[IL]]</f>
        <v>-105.92844444159088</v>
      </c>
      <c r="J22" s="2">
        <f>Masks[[#This Row],[channel_echo]]</f>
        <v>-17.20024415580292</v>
      </c>
      <c r="K22" s="2">
        <f>Masks[[#This Row],[channel_echo]]</f>
        <v>-17.20024415580292</v>
      </c>
      <c r="L22" s="2">
        <f>Calculate[[#This Row],[Echo_transfer_us]]+Calculate[[#This Row],[Tx_PSD_ds]]</f>
        <v>-114.62518672004614</v>
      </c>
      <c r="M22" s="2">
        <f>Calculate[[#This Row],[Echo_transfer_ds]]+Calculate[[#This Row],[Tx_PSD_us]]</f>
        <v>-114.62518672004614</v>
      </c>
      <c r="N22" s="2">
        <f t="shared" si="0"/>
        <v>-140</v>
      </c>
      <c r="O22" s="2">
        <f t="shared" si="1"/>
        <v>-140</v>
      </c>
      <c r="P22" s="2">
        <f t="shared" si="2"/>
        <v>6</v>
      </c>
      <c r="Q22" s="2">
        <f t="shared" si="3"/>
        <v>6</v>
      </c>
      <c r="R22" s="2">
        <f>10*LOG10((10^(Calculate[[#This Row],[Rx_echo_us]]/10))-(10^((Masks[[#This Row],[connector_echo]]+Calculate[[#This Row],[Tx_PSD_ds]])/10))*EC_conector_ratio_us)-Calculate[[#This Row],[EC_cancelation_us]]</f>
        <v>-145.06575631090701</v>
      </c>
      <c r="S22" s="2">
        <f>10*LOG10((10^(Calculate[[#This Row],[Rx_echo_ds]]/10))-(10^((Masks[[#This Row],[connector_echo]]+Calculate[[#This Row],[Tx_PSD_us]])/10))*EC_conector_ratio_ds)-Calculate[[#This Row],[EC_cancelation_ds]]</f>
        <v>-145.06575631090701</v>
      </c>
      <c r="T22" s="1">
        <f>(POWER(10,Calculate[[#This Row],[AFE_noise_us]]/10)+POWER(10,Calculate[[#This Row],[Echo_res_us]]/10))</f>
        <v>1.3114758422836433E-14</v>
      </c>
      <c r="U22" s="1">
        <f>(POWER(10,Calculate[[#This Row],[AFE_noise_ds]]/10)+POWER(10,Calculate[[#This Row],[Echo_res_ds]]/10))</f>
        <v>1.3114758422836433E-14</v>
      </c>
      <c r="V22" s="2">
        <f>10*LOG10(Calculate[[#This Row],[Linear_Noise_us]])</f>
        <v>-138.82239704814029</v>
      </c>
      <c r="W22" s="2">
        <f>10*LOG10(Calculate[[#This Row],[Linear_Noise_ds]])</f>
        <v>-138.82239704814029</v>
      </c>
      <c r="X22" s="2">
        <f>Calculate[[#This Row],[Rx_PSD_us]]-Calculate[[#This Row],[Noise_us]]</f>
        <v>32.893952606549405</v>
      </c>
      <c r="Y22" s="2">
        <f>Calculate[[#This Row],[Rx_PSD_ds]]-Calculate[[#This Row],[Noise_ds]]</f>
        <v>32.893952606549405</v>
      </c>
      <c r="Z22" s="2">
        <f>POWER(10,Calculate[[#This Row],[SNRdB_us]]/10)</f>
        <v>1947.1314011889453</v>
      </c>
      <c r="AA22" s="2">
        <f>POWER(10,Calculate[[#This Row],[SNRdB_ds]]/10)</f>
        <v>1947.1314011889453</v>
      </c>
      <c r="AB22" s="2">
        <f>-(0.002*Calculate[[#This Row],[Freq]]/1000000/2.5+0.68*(Calculate[[#This Row],[Freq]]/1000000/2.5)^0.45)</f>
        <v>-10.582078347632242</v>
      </c>
      <c r="AC22" s="2"/>
    </row>
    <row r="23" spans="1:29" x14ac:dyDescent="0.25">
      <c r="A23" s="33">
        <f t="shared" si="4"/>
        <v>990000000</v>
      </c>
      <c r="B23" s="1">
        <f>Calculate[[#This Row],[Freq]]-A22</f>
        <v>45000000</v>
      </c>
      <c r="C23" s="1">
        <f>Channels!B23*cable_length</f>
        <v>-8.3351564733807191</v>
      </c>
      <c r="D23" s="1">
        <f>Channels!C23*PCB_trace_length</f>
        <v>-0.39822164320751502</v>
      </c>
      <c r="E23" s="1">
        <f>Calculate[[#This Row],[IL_Cable]]+Calculate[[#This Row],[IL_PCB]]</f>
        <v>-8.7333781165882343</v>
      </c>
      <c r="F23" s="2">
        <f>Masks!A23</f>
        <v>-97.431253423297335</v>
      </c>
      <c r="G23" s="2">
        <f>Masks!B23</f>
        <v>-97.431253423297335</v>
      </c>
      <c r="H23" s="2">
        <f>Calculate[[#This Row],[Tx_PSD_us]]+Calculate[[#This Row],[IL]]</f>
        <v>-106.16463153988556</v>
      </c>
      <c r="I23" s="2">
        <f>Calculate[[#This Row],[Tx_PSD_ds]]+Calculate[[#This Row],[IL]]</f>
        <v>-106.16463153988556</v>
      </c>
      <c r="J23" s="2">
        <f>Masks[[#This Row],[channel_echo]]</f>
        <v>-17.029284305478225</v>
      </c>
      <c r="K23" s="2">
        <f>Masks[[#This Row],[channel_echo]]</f>
        <v>-17.029284305478225</v>
      </c>
      <c r="L23" s="2">
        <f>Calculate[[#This Row],[Echo_transfer_us]]+Calculate[[#This Row],[Tx_PSD_ds]]</f>
        <v>-114.46053772877556</v>
      </c>
      <c r="M23" s="2">
        <f>Calculate[[#This Row],[Echo_transfer_ds]]+Calculate[[#This Row],[Tx_PSD_us]]</f>
        <v>-114.46053772877556</v>
      </c>
      <c r="N23" s="2">
        <f t="shared" si="0"/>
        <v>-140</v>
      </c>
      <c r="O23" s="2">
        <f t="shared" si="1"/>
        <v>-140</v>
      </c>
      <c r="P23" s="2">
        <f t="shared" si="2"/>
        <v>6</v>
      </c>
      <c r="Q23" s="2">
        <f t="shared" si="3"/>
        <v>6</v>
      </c>
      <c r="R23" s="2">
        <f>10*LOG10((10^(Calculate[[#This Row],[Rx_echo_us]]/10))-(10^((Masks[[#This Row],[connector_echo]]+Calculate[[#This Row],[Tx_PSD_ds]])/10))*EC_conector_ratio_us)-Calculate[[#This Row],[EC_cancelation_us]]</f>
        <v>-145.0720671699606</v>
      </c>
      <c r="S23" s="2">
        <f>10*LOG10((10^(Calculate[[#This Row],[Rx_echo_ds]]/10))-(10^((Masks[[#This Row],[connector_echo]]+Calculate[[#This Row],[Tx_PSD_us]])/10))*EC_conector_ratio_ds)-Calculate[[#This Row],[EC_cancelation_ds]]</f>
        <v>-145.0720671699606</v>
      </c>
      <c r="T23" s="1">
        <f>(POWER(10,Calculate[[#This Row],[AFE_noise_us]]/10)+POWER(10,Calculate[[#This Row],[Echo_res_us]]/10))</f>
        <v>1.3110235563994732E-14</v>
      </c>
      <c r="U23" s="1">
        <f>(POWER(10,Calculate[[#This Row],[AFE_noise_ds]]/10)+POWER(10,Calculate[[#This Row],[Echo_res_ds]]/10))</f>
        <v>1.3110235563994732E-14</v>
      </c>
      <c r="V23" s="2">
        <f>10*LOG10(Calculate[[#This Row],[Linear_Noise_us]])</f>
        <v>-138.82389504860339</v>
      </c>
      <c r="W23" s="2">
        <f>10*LOG10(Calculate[[#This Row],[Linear_Noise_ds]])</f>
        <v>-138.82389504860339</v>
      </c>
      <c r="X23" s="2">
        <f>Calculate[[#This Row],[Rx_PSD_us]]-Calculate[[#This Row],[Noise_us]]</f>
        <v>32.659263508717828</v>
      </c>
      <c r="Y23" s="2">
        <f>Calculate[[#This Row],[Rx_PSD_ds]]-Calculate[[#This Row],[Noise_ds]]</f>
        <v>32.659263508717828</v>
      </c>
      <c r="Z23" s="2">
        <f>POWER(10,Calculate[[#This Row],[SNRdB_us]]/10)</f>
        <v>1844.7025617482436</v>
      </c>
      <c r="AA23" s="2">
        <f>POWER(10,Calculate[[#This Row],[SNRdB_ds]]/10)</f>
        <v>1844.7025617482436</v>
      </c>
      <c r="AB23" s="2">
        <f>-(0.002*Calculate[[#This Row],[Freq]]/1000000/2.5+0.68*(Calculate[[#This Row],[Freq]]/1000000/2.5)^0.45)</f>
        <v>-10.825945698050115</v>
      </c>
      <c r="AC23" s="2"/>
    </row>
    <row r="24" spans="1:29" x14ac:dyDescent="0.25">
      <c r="A24" s="33">
        <f t="shared" si="4"/>
        <v>1035000000</v>
      </c>
      <c r="B24" s="1">
        <f>Calculate[[#This Row],[Freq]]-A23</f>
        <v>45000000</v>
      </c>
      <c r="C24" s="1">
        <f>Channels!B24*cable_length</f>
        <v>-8.54555631767664</v>
      </c>
      <c r="D24" s="1">
        <f>Channels!C24*PCB_trace_length</f>
        <v>-0.4138532457266294</v>
      </c>
      <c r="E24" s="1">
        <f>Calculate[[#This Row],[IL_Cable]]+Calculate[[#This Row],[IL_PCB]]</f>
        <v>-8.9594095634032698</v>
      </c>
      <c r="F24" s="2">
        <f>Masks!A24</f>
        <v>-97.437859780829697</v>
      </c>
      <c r="G24" s="2">
        <f>Masks!B24</f>
        <v>-97.437859780829697</v>
      </c>
      <c r="H24" s="2">
        <f>Calculate[[#This Row],[Tx_PSD_us]]+Calculate[[#This Row],[IL]]</f>
        <v>-106.39726934423297</v>
      </c>
      <c r="I24" s="2">
        <f>Calculate[[#This Row],[Tx_PSD_ds]]+Calculate[[#This Row],[IL]]</f>
        <v>-106.39726934423297</v>
      </c>
      <c r="J24" s="2">
        <f>Masks[[#This Row],[channel_echo]]</f>
        <v>-16.864800171067834</v>
      </c>
      <c r="K24" s="2">
        <f>Masks[[#This Row],[channel_echo]]</f>
        <v>-16.864800171067834</v>
      </c>
      <c r="L24" s="2">
        <f>Calculate[[#This Row],[Echo_transfer_us]]+Calculate[[#This Row],[Tx_PSD_ds]]</f>
        <v>-114.30265995189754</v>
      </c>
      <c r="M24" s="2">
        <f>Calculate[[#This Row],[Echo_transfer_ds]]+Calculate[[#This Row],[Tx_PSD_us]]</f>
        <v>-114.30265995189754</v>
      </c>
      <c r="N24" s="2">
        <f t="shared" si="0"/>
        <v>-140</v>
      </c>
      <c r="O24" s="2">
        <f t="shared" si="1"/>
        <v>-140</v>
      </c>
      <c r="P24" s="2">
        <f t="shared" si="2"/>
        <v>6</v>
      </c>
      <c r="Q24" s="2">
        <f t="shared" si="3"/>
        <v>6</v>
      </c>
      <c r="R24" s="2">
        <f>10*LOG10((10^(Calculate[[#This Row],[Rx_echo_us]]/10))-(10^((Masks[[#This Row],[connector_echo]]+Calculate[[#This Row],[Tx_PSD_ds]])/10))*EC_conector_ratio_us)-Calculate[[#This Row],[EC_cancelation_us]]</f>
        <v>-145.07867352749111</v>
      </c>
      <c r="S24" s="2">
        <f>10*LOG10((10^(Calculate[[#This Row],[Rx_echo_ds]]/10))-(10^((Masks[[#This Row],[connector_echo]]+Calculate[[#This Row],[Tx_PSD_us]])/10))*EC_conector_ratio_ds)-Calculate[[#This Row],[EC_cancelation_ds]]</f>
        <v>-145.07867352749111</v>
      </c>
      <c r="T24" s="1">
        <f>(POWER(10,Calculate[[#This Row],[AFE_noise_us]]/10)+POWER(10,Calculate[[#This Row],[Echo_res_us]]/10))</f>
        <v>1.3105507963500917E-14</v>
      </c>
      <c r="U24" s="1">
        <f>(POWER(10,Calculate[[#This Row],[AFE_noise_ds]]/10)+POWER(10,Calculate[[#This Row],[Echo_res_ds]]/10))</f>
        <v>1.3105507963500917E-14</v>
      </c>
      <c r="V24" s="2">
        <f>10*LOG10(Calculate[[#This Row],[Linear_Noise_us]])</f>
        <v>-138.82546141335456</v>
      </c>
      <c r="W24" s="2">
        <f>10*LOG10(Calculate[[#This Row],[Linear_Noise_ds]])</f>
        <v>-138.82546141335456</v>
      </c>
      <c r="X24" s="2">
        <f>Calculate[[#This Row],[Rx_PSD_us]]-Calculate[[#This Row],[Noise_us]]</f>
        <v>32.428192069121593</v>
      </c>
      <c r="Y24" s="2">
        <f>Calculate[[#This Row],[Rx_PSD_ds]]-Calculate[[#This Row],[Noise_ds]]</f>
        <v>32.428192069121593</v>
      </c>
      <c r="Z24" s="2">
        <f>POWER(10,Calculate[[#This Row],[SNRdB_us]]/10)</f>
        <v>1749.1183939781054</v>
      </c>
      <c r="AA24" s="2">
        <f>POWER(10,Calculate[[#This Row],[SNRdB_ds]]/10)</f>
        <v>1749.1183939781054</v>
      </c>
      <c r="AB24" s="2">
        <f>-(0.002*Calculate[[#This Row],[Freq]]/1000000/2.5+0.68*(Calculate[[#This Row],[Freq]]/1000000/2.5)^0.45)</f>
        <v>-11.064678557839294</v>
      </c>
      <c r="AC24" s="2"/>
    </row>
    <row r="25" spans="1:29" x14ac:dyDescent="0.25">
      <c r="A25" s="33">
        <f t="shared" si="4"/>
        <v>1080000000</v>
      </c>
      <c r="B25" s="1">
        <f>Calculate[[#This Row],[Freq]]-A24</f>
        <v>45000000</v>
      </c>
      <c r="C25" s="1">
        <f>Channels!B25*cable_length</f>
        <v>-8.7524115250336969</v>
      </c>
      <c r="D25" s="1">
        <f>Channels!C25*PCB_trace_length</f>
        <v>-0.42943289233046328</v>
      </c>
      <c r="E25" s="1">
        <f>Calculate[[#This Row],[IL_Cable]]+Calculate[[#This Row],[IL_PCB]]</f>
        <v>-9.1818444173641609</v>
      </c>
      <c r="F25" s="2">
        <f>Masks!A25</f>
        <v>-97.44476190737204</v>
      </c>
      <c r="G25" s="2">
        <f>Masks!B25</f>
        <v>-97.44476190737204</v>
      </c>
      <c r="H25" s="2">
        <f>Calculate[[#This Row],[Tx_PSD_us]]+Calculate[[#This Row],[IL]]</f>
        <v>-106.6266063247362</v>
      </c>
      <c r="I25" s="2">
        <f>Calculate[[#This Row],[Tx_PSD_ds]]+Calculate[[#This Row],[IL]]</f>
        <v>-106.6266063247362</v>
      </c>
      <c r="J25" s="2">
        <f>Masks[[#This Row],[channel_echo]]</f>
        <v>-16.706319022658015</v>
      </c>
      <c r="K25" s="2">
        <f>Masks[[#This Row],[channel_echo]]</f>
        <v>-16.706319022658015</v>
      </c>
      <c r="L25" s="2">
        <f>Calculate[[#This Row],[Echo_transfer_us]]+Calculate[[#This Row],[Tx_PSD_ds]]</f>
        <v>-114.15108093003005</v>
      </c>
      <c r="M25" s="2">
        <f>Calculate[[#This Row],[Echo_transfer_ds]]+Calculate[[#This Row],[Tx_PSD_us]]</f>
        <v>-114.15108093003005</v>
      </c>
      <c r="N25" s="2">
        <f t="shared" si="0"/>
        <v>-140</v>
      </c>
      <c r="O25" s="2">
        <f t="shared" si="1"/>
        <v>-140</v>
      </c>
      <c r="P25" s="2">
        <f t="shared" si="2"/>
        <v>6</v>
      </c>
      <c r="Q25" s="2">
        <f t="shared" si="3"/>
        <v>6</v>
      </c>
      <c r="R25" s="2">
        <f>10*LOG10((10^(Calculate[[#This Row],[Rx_echo_us]]/10))-(10^((Masks[[#This Row],[connector_echo]]+Calculate[[#This Row],[Tx_PSD_ds]])/10))*EC_conector_ratio_us)-Calculate[[#This Row],[EC_cancelation_us]]</f>
        <v>-145.08557565402734</v>
      </c>
      <c r="S25" s="2">
        <f>10*LOG10((10^(Calculate[[#This Row],[Rx_echo_ds]]/10))-(10^((Masks[[#This Row],[connector_echo]]+Calculate[[#This Row],[Tx_PSD_us]])/10))*EC_conector_ratio_ds)-Calculate[[#This Row],[EC_cancelation_ds]]</f>
        <v>-145.08557565402734</v>
      </c>
      <c r="T25" s="1">
        <f>(POWER(10,Calculate[[#This Row],[AFE_noise_us]]/10)+POWER(10,Calculate[[#This Row],[Echo_res_us]]/10))</f>
        <v>1.3100576382256181E-14</v>
      </c>
      <c r="U25" s="1">
        <f>(POWER(10,Calculate[[#This Row],[AFE_noise_ds]]/10)+POWER(10,Calculate[[#This Row],[Echo_res_ds]]/10))</f>
        <v>1.3100576382256181E-14</v>
      </c>
      <c r="V25" s="2">
        <f>10*LOG10(Calculate[[#This Row],[Linear_Noise_us]])</f>
        <v>-138.8270959639564</v>
      </c>
      <c r="W25" s="2">
        <f>10*LOG10(Calculate[[#This Row],[Linear_Noise_ds]])</f>
        <v>-138.8270959639564</v>
      </c>
      <c r="X25" s="2">
        <f>Calculate[[#This Row],[Rx_PSD_us]]-Calculate[[#This Row],[Noise_us]]</f>
        <v>32.200489639220194</v>
      </c>
      <c r="Y25" s="2">
        <f>Calculate[[#This Row],[Rx_PSD_ds]]-Calculate[[#This Row],[Noise_ds]]</f>
        <v>32.200489639220194</v>
      </c>
      <c r="Z25" s="2">
        <f>POWER(10,Calculate[[#This Row],[SNRdB_us]]/10)</f>
        <v>1659.7740257829339</v>
      </c>
      <c r="AA25" s="2">
        <f>POWER(10,Calculate[[#This Row],[SNRdB_ds]]/10)</f>
        <v>1659.7740257829339</v>
      </c>
      <c r="AB25" s="2">
        <f>-(0.002*Calculate[[#This Row],[Freq]]/1000000/2.5+0.68*(Calculate[[#This Row],[Freq]]/1000000/2.5)^0.45)</f>
        <v>-11.298619060255852</v>
      </c>
      <c r="AC25" s="2"/>
    </row>
    <row r="26" spans="1:29" x14ac:dyDescent="0.25">
      <c r="A26" s="33">
        <f t="shared" si="4"/>
        <v>1125000000</v>
      </c>
      <c r="B26" s="1">
        <f>Calculate[[#This Row],[Freq]]-A25</f>
        <v>45000000</v>
      </c>
      <c r="C26" s="1">
        <f>Channels!B26*cable_length</f>
        <v>-8.9559414717772192</v>
      </c>
      <c r="D26" s="1">
        <f>Channels!C26*PCB_trace_length</f>
        <v>-0.44496379855222074</v>
      </c>
      <c r="E26" s="1">
        <f>Calculate[[#This Row],[IL_Cable]]+Calculate[[#This Row],[IL_PCB]]</f>
        <v>-9.4009052703294405</v>
      </c>
      <c r="F26" s="2">
        <f>Masks!A26</f>
        <v>-97.451960085899387</v>
      </c>
      <c r="G26" s="2">
        <f>Masks!B26</f>
        <v>-97.451960085899387</v>
      </c>
      <c r="H26" s="2">
        <f>Calculate[[#This Row],[Tx_PSD_us]]+Calculate[[#This Row],[IL]]</f>
        <v>-106.85286535622883</v>
      </c>
      <c r="I26" s="2">
        <f>Calculate[[#This Row],[Tx_PSD_ds]]+Calculate[[#This Row],[IL]]</f>
        <v>-106.85286535622883</v>
      </c>
      <c r="J26" s="2">
        <f>Masks[[#This Row],[channel_echo]]</f>
        <v>-16.553418076838852</v>
      </c>
      <c r="K26" s="2">
        <f>Masks[[#This Row],[channel_echo]]</f>
        <v>-16.553418076838852</v>
      </c>
      <c r="L26" s="2">
        <f>Calculate[[#This Row],[Echo_transfer_us]]+Calculate[[#This Row],[Tx_PSD_ds]]</f>
        <v>-114.00537816273824</v>
      </c>
      <c r="M26" s="2">
        <f>Calculate[[#This Row],[Echo_transfer_ds]]+Calculate[[#This Row],[Tx_PSD_us]]</f>
        <v>-114.00537816273824</v>
      </c>
      <c r="N26" s="2">
        <f t="shared" si="0"/>
        <v>-140</v>
      </c>
      <c r="O26" s="2">
        <f t="shared" si="1"/>
        <v>-140</v>
      </c>
      <c r="P26" s="2">
        <f t="shared" si="2"/>
        <v>6</v>
      </c>
      <c r="Q26" s="2">
        <f t="shared" si="3"/>
        <v>6</v>
      </c>
      <c r="R26" s="2">
        <f>10*LOG10((10^(Calculate[[#This Row],[Rx_echo_us]]/10))-(10^((Masks[[#This Row],[connector_echo]]+Calculate[[#This Row],[Tx_PSD_ds]])/10))*EC_conector_ratio_us)-Calculate[[#This Row],[EC_cancelation_us]]</f>
        <v>-145.09277383256077</v>
      </c>
      <c r="S26" s="2">
        <f>10*LOG10((10^(Calculate[[#This Row],[Rx_echo_ds]]/10))-(10^((Masks[[#This Row],[connector_echo]]+Calculate[[#This Row],[Tx_PSD_us]])/10))*EC_conector_ratio_ds)-Calculate[[#This Row],[EC_cancelation_ds]]</f>
        <v>-145.09277383256077</v>
      </c>
      <c r="T26" s="1">
        <f>(POWER(10,Calculate[[#This Row],[AFE_noise_us]]/10)+POWER(10,Calculate[[#This Row],[Echo_res_us]]/10))</f>
        <v>1.3095441613639603E-14</v>
      </c>
      <c r="U26" s="1">
        <f>(POWER(10,Calculate[[#This Row],[AFE_noise_ds]]/10)+POWER(10,Calculate[[#This Row],[Echo_res_ds]]/10))</f>
        <v>1.3095441613639603E-14</v>
      </c>
      <c r="V26" s="2">
        <f>10*LOG10(Calculate[[#This Row],[Linear_Noise_us]])</f>
        <v>-138.82879851409581</v>
      </c>
      <c r="W26" s="2">
        <f>10*LOG10(Calculate[[#This Row],[Linear_Noise_ds]])</f>
        <v>-138.82879851409581</v>
      </c>
      <c r="X26" s="2">
        <f>Calculate[[#This Row],[Rx_PSD_us]]-Calculate[[#This Row],[Noise_us]]</f>
        <v>31.975933157866976</v>
      </c>
      <c r="Y26" s="2">
        <f>Calculate[[#This Row],[Rx_PSD_ds]]-Calculate[[#This Row],[Noise_ds]]</f>
        <v>31.975933157866976</v>
      </c>
      <c r="Z26" s="2">
        <f>POWER(10,Calculate[[#This Row],[SNRdB_us]]/10)</f>
        <v>1576.1346465362421</v>
      </c>
      <c r="AA26" s="2">
        <f>POWER(10,Calculate[[#This Row],[SNRdB_ds]]/10)</f>
        <v>1576.1346465362421</v>
      </c>
      <c r="AB26" s="2">
        <f>-(0.002*Calculate[[#This Row],[Freq]]/1000000/2.5+0.68*(Calculate[[#This Row],[Freq]]/1000000/2.5)^0.45)</f>
        <v>-11.528073371017001</v>
      </c>
      <c r="AC26" s="2"/>
    </row>
    <row r="27" spans="1:29" x14ac:dyDescent="0.25">
      <c r="A27" s="33">
        <f t="shared" si="4"/>
        <v>1170000000</v>
      </c>
      <c r="B27" s="1">
        <f>Calculate[[#This Row],[Freq]]-A26</f>
        <v>45000000</v>
      </c>
      <c r="C27" s="1">
        <f>Channels!B27*cable_length</f>
        <v>-9.1563437980821885</v>
      </c>
      <c r="D27" s="1">
        <f>Channels!C27*PCB_trace_length</f>
        <v>-0.46044886132503332</v>
      </c>
      <c r="E27" s="1">
        <f>Calculate[[#This Row],[IL_Cable]]+Calculate[[#This Row],[IL_PCB]]</f>
        <v>-9.6167926594072224</v>
      </c>
      <c r="F27" s="2">
        <f>Masks!A27</f>
        <v>-97.459454611885661</v>
      </c>
      <c r="G27" s="2">
        <f>Masks!B27</f>
        <v>-97.459454611885661</v>
      </c>
      <c r="H27" s="2">
        <f>Calculate[[#This Row],[Tx_PSD_us]]+Calculate[[#This Row],[IL]]</f>
        <v>-107.07624727129289</v>
      </c>
      <c r="I27" s="2">
        <f>Calculate[[#This Row],[Tx_PSD_ds]]+Calculate[[#This Row],[IL]]</f>
        <v>-107.07624727129289</v>
      </c>
      <c r="J27" s="2">
        <f>Masks[[#This Row],[channel_echo]]</f>
        <v>-16.405717699260077</v>
      </c>
      <c r="K27" s="2">
        <f>Masks[[#This Row],[channel_echo]]</f>
        <v>-16.405717699260077</v>
      </c>
      <c r="L27" s="2">
        <f>Calculate[[#This Row],[Echo_transfer_us]]+Calculate[[#This Row],[Tx_PSD_ds]]</f>
        <v>-113.86517231114574</v>
      </c>
      <c r="M27" s="2">
        <f>Calculate[[#This Row],[Echo_transfer_ds]]+Calculate[[#This Row],[Tx_PSD_us]]</f>
        <v>-113.86517231114574</v>
      </c>
      <c r="N27" s="2">
        <f t="shared" si="0"/>
        <v>-140</v>
      </c>
      <c r="O27" s="2">
        <f t="shared" si="1"/>
        <v>-140</v>
      </c>
      <c r="P27" s="2">
        <f t="shared" si="2"/>
        <v>6</v>
      </c>
      <c r="Q27" s="2">
        <f t="shared" si="3"/>
        <v>6</v>
      </c>
      <c r="R27" s="2">
        <f>10*LOG10((10^(Calculate[[#This Row],[Rx_echo_us]]/10))-(10^((Masks[[#This Row],[connector_echo]]+Calculate[[#This Row],[Tx_PSD_ds]])/10))*EC_conector_ratio_us)-Calculate[[#This Row],[EC_cancelation_us]]</f>
        <v>-145.10026835854759</v>
      </c>
      <c r="S27" s="2">
        <f>10*LOG10((10^(Calculate[[#This Row],[Rx_echo_ds]]/10))-(10^((Masks[[#This Row],[connector_echo]]+Calculate[[#This Row],[Tx_PSD_us]])/10))*EC_conector_ratio_ds)-Calculate[[#This Row],[EC_cancelation_ds]]</f>
        <v>-145.10026835854759</v>
      </c>
      <c r="T27" s="1">
        <f>(POWER(10,Calculate[[#This Row],[AFE_noise_us]]/10)+POWER(10,Calculate[[#This Row],[Echo_res_us]]/10))</f>
        <v>1.3090104483374959E-14</v>
      </c>
      <c r="U27" s="1">
        <f>(POWER(10,Calculate[[#This Row],[AFE_noise_ds]]/10)+POWER(10,Calculate[[#This Row],[Echo_res_ds]]/10))</f>
        <v>1.3090104483374959E-14</v>
      </c>
      <c r="V27" s="2">
        <f>10*LOG10(Calculate[[#This Row],[Linear_Noise_us]])</f>
        <v>-138.83056886957868</v>
      </c>
      <c r="W27" s="2">
        <f>10*LOG10(Calculate[[#This Row],[Linear_Noise_ds]])</f>
        <v>-138.83056886957868</v>
      </c>
      <c r="X27" s="2">
        <f>Calculate[[#This Row],[Rx_PSD_us]]-Calculate[[#This Row],[Noise_us]]</f>
        <v>31.754321598285799</v>
      </c>
      <c r="Y27" s="2">
        <f>Calculate[[#This Row],[Rx_PSD_ds]]-Calculate[[#This Row],[Noise_ds]]</f>
        <v>31.754321598285799</v>
      </c>
      <c r="Z27" s="2">
        <f>POWER(10,Calculate[[#This Row],[SNRdB_us]]/10)</f>
        <v>1497.7252784490779</v>
      </c>
      <c r="AA27" s="2">
        <f>POWER(10,Calculate[[#This Row],[SNRdB_ds]]/10)</f>
        <v>1497.7252784490779</v>
      </c>
      <c r="AB27" s="2">
        <f>-(0.002*Calculate[[#This Row],[Freq]]/1000000/2.5+0.68*(Calculate[[#This Row],[Freq]]/1000000/2.5)^0.45)</f>
        <v>-11.753316744816626</v>
      </c>
      <c r="AC27" s="2"/>
    </row>
    <row r="28" spans="1:29" x14ac:dyDescent="0.25">
      <c r="A28" s="33">
        <f t="shared" si="4"/>
        <v>1215000000</v>
      </c>
      <c r="B28" s="1">
        <f>Calculate[[#This Row],[Freq]]-A27</f>
        <v>45000000</v>
      </c>
      <c r="C28" s="1">
        <f>Channels!B28*cable_length</f>
        <v>-9.3537973086708934</v>
      </c>
      <c r="D28" s="1">
        <f>Channels!C28*PCB_trace_length</f>
        <v>-0.47589070149926255</v>
      </c>
      <c r="E28" s="1">
        <f>Calculate[[#This Row],[IL_Cable]]+Calculate[[#This Row],[IL_PCB]]</f>
        <v>-9.8296880101701554</v>
      </c>
      <c r="F28" s="2">
        <f>Masks!A28</f>
        <v>-97.467245793361968</v>
      </c>
      <c r="G28" s="2">
        <f>Masks!B28</f>
        <v>-97.467245793361968</v>
      </c>
      <c r="H28" s="2">
        <f>Calculate[[#This Row],[Tx_PSD_us]]+Calculate[[#This Row],[IL]]</f>
        <v>-107.29693380353213</v>
      </c>
      <c r="I28" s="2">
        <f>Calculate[[#This Row],[Tx_PSD_ds]]+Calculate[[#This Row],[IL]]</f>
        <v>-107.29693380353213</v>
      </c>
      <c r="J28" s="2">
        <f>Masks[[#This Row],[channel_echo]]</f>
        <v>-16.262875725606733</v>
      </c>
      <c r="K28" s="2">
        <f>Masks[[#This Row],[channel_echo]]</f>
        <v>-16.262875725606733</v>
      </c>
      <c r="L28" s="2">
        <f>Calculate[[#This Row],[Echo_transfer_us]]+Calculate[[#This Row],[Tx_PSD_ds]]</f>
        <v>-113.7301215189687</v>
      </c>
      <c r="M28" s="2">
        <f>Calculate[[#This Row],[Echo_transfer_ds]]+Calculate[[#This Row],[Tx_PSD_us]]</f>
        <v>-113.7301215189687</v>
      </c>
      <c r="N28" s="2">
        <f t="shared" si="0"/>
        <v>-140</v>
      </c>
      <c r="O28" s="2">
        <f t="shared" si="1"/>
        <v>-140</v>
      </c>
      <c r="P28" s="2">
        <f t="shared" si="2"/>
        <v>6</v>
      </c>
      <c r="Q28" s="2">
        <f t="shared" si="3"/>
        <v>6</v>
      </c>
      <c r="R28" s="2">
        <f>10*LOG10((10^(Calculate[[#This Row],[Rx_echo_us]]/10))-(10^((Masks[[#This Row],[connector_echo]]+Calculate[[#This Row],[Tx_PSD_ds]])/10))*EC_conector_ratio_us)-Calculate[[#This Row],[EC_cancelation_us]]</f>
        <v>-145.10805954001967</v>
      </c>
      <c r="S28" s="2">
        <f>10*LOG10((10^(Calculate[[#This Row],[Rx_echo_ds]]/10))-(10^((Masks[[#This Row],[connector_echo]]+Calculate[[#This Row],[Tx_PSD_us]])/10))*EC_conector_ratio_ds)-Calculate[[#This Row],[EC_cancelation_ds]]</f>
        <v>-145.10805954001967</v>
      </c>
      <c r="T28" s="1">
        <f>(POWER(10,Calculate[[#This Row],[AFE_noise_us]]/10)+POWER(10,Calculate[[#This Row],[Echo_res_us]]/10))</f>
        <v>1.3084565849315084E-14</v>
      </c>
      <c r="U28" s="1">
        <f>(POWER(10,Calculate[[#This Row],[AFE_noise_ds]]/10)+POWER(10,Calculate[[#This Row],[Echo_res_ds]]/10))</f>
        <v>1.3084565849315084E-14</v>
      </c>
      <c r="V28" s="2">
        <f>10*LOG10(Calculate[[#This Row],[Linear_Noise_us]])</f>
        <v>-138.83240682834938</v>
      </c>
      <c r="W28" s="2">
        <f>10*LOG10(Calculate[[#This Row],[Linear_Noise_ds]])</f>
        <v>-138.83240682834938</v>
      </c>
      <c r="X28" s="2">
        <f>Calculate[[#This Row],[Rx_PSD_us]]-Calculate[[#This Row],[Noise_us]]</f>
        <v>31.53547302481725</v>
      </c>
      <c r="Y28" s="2">
        <f>Calculate[[#This Row],[Rx_PSD_ds]]-Calculate[[#This Row],[Noise_ds]]</f>
        <v>31.53547302481725</v>
      </c>
      <c r="Z28" s="2">
        <f>POWER(10,Calculate[[#This Row],[SNRdB_us]]/10)</f>
        <v>1424.1223507422119</v>
      </c>
      <c r="AA28" s="2">
        <f>POWER(10,Calculate[[#This Row],[SNRdB_ds]]/10)</f>
        <v>1424.1223507422119</v>
      </c>
      <c r="AB28" s="2">
        <f>-(0.002*Calculate[[#This Row],[Freq]]/1000000/2.5+0.68*(Calculate[[#This Row],[Freq]]/1000000/2.5)^0.45)</f>
        <v>-11.974597705275832</v>
      </c>
      <c r="AC28" s="2"/>
    </row>
    <row r="29" spans="1:29" x14ac:dyDescent="0.25">
      <c r="A29" s="33">
        <f t="shared" si="4"/>
        <v>1260000000</v>
      </c>
      <c r="B29" s="1">
        <f>Calculate[[#This Row],[Freq]]-A28</f>
        <v>45000000</v>
      </c>
      <c r="C29" s="1">
        <f>Channels!B29*cable_length</f>
        <v>-9.5484643940104643</v>
      </c>
      <c r="D29" s="1">
        <f>Channels!C29*PCB_trace_length</f>
        <v>-0.49129169933147576</v>
      </c>
      <c r="E29" s="1">
        <f>Calculate[[#This Row],[IL_Cable]]+Calculate[[#This Row],[IL_PCB]]</f>
        <v>-10.039756093341939</v>
      </c>
      <c r="F29" s="2">
        <f>Masks!A29</f>
        <v>-97.475333950977316</v>
      </c>
      <c r="G29" s="2">
        <f>Masks!B29</f>
        <v>-97.475333950977316</v>
      </c>
      <c r="H29" s="2">
        <f>Calculate[[#This Row],[Tx_PSD_us]]+Calculate[[#This Row],[IL]]</f>
        <v>-107.51509004431925</v>
      </c>
      <c r="I29" s="2">
        <f>Calculate[[#This Row],[Tx_PSD_ds]]+Calculate[[#This Row],[IL]]</f>
        <v>-107.51509004431925</v>
      </c>
      <c r="J29" s="2">
        <f>Masks[[#This Row],[channel_echo]]</f>
        <v>-16.124582687188258</v>
      </c>
      <c r="K29" s="2">
        <f>Masks[[#This Row],[channel_echo]]</f>
        <v>-16.124582687188258</v>
      </c>
      <c r="L29" s="2">
        <f>Calculate[[#This Row],[Echo_transfer_us]]+Calculate[[#This Row],[Tx_PSD_ds]]</f>
        <v>-113.59991663816558</v>
      </c>
      <c r="M29" s="2">
        <f>Calculate[[#This Row],[Echo_transfer_ds]]+Calculate[[#This Row],[Tx_PSD_us]]</f>
        <v>-113.59991663816558</v>
      </c>
      <c r="N29" s="2">
        <f t="shared" si="0"/>
        <v>-140</v>
      </c>
      <c r="O29" s="2">
        <f t="shared" si="1"/>
        <v>-140</v>
      </c>
      <c r="P29" s="2">
        <f t="shared" si="2"/>
        <v>6</v>
      </c>
      <c r="Q29" s="2">
        <f t="shared" si="3"/>
        <v>6</v>
      </c>
      <c r="R29" s="2">
        <f>10*LOG10((10^(Calculate[[#This Row],[Rx_echo_us]]/10))-(10^((Masks[[#This Row],[connector_echo]]+Calculate[[#This Row],[Tx_PSD_ds]])/10))*EC_conector_ratio_us)-Calculate[[#This Row],[EC_cancelation_us]]</f>
        <v>-145.11614769764742</v>
      </c>
      <c r="S29" s="2">
        <f>10*LOG10((10^(Calculate[[#This Row],[Rx_echo_ds]]/10))-(10^((Masks[[#This Row],[connector_echo]]+Calculate[[#This Row],[Tx_PSD_us]])/10))*EC_conector_ratio_ds)-Calculate[[#This Row],[EC_cancelation_ds]]</f>
        <v>-145.11614769764742</v>
      </c>
      <c r="T29" s="1">
        <f>(POWER(10,Calculate[[#This Row],[AFE_noise_us]]/10)+POWER(10,Calculate[[#This Row],[Echo_res_us]]/10))</f>
        <v>1.3078826601255233E-14</v>
      </c>
      <c r="U29" s="1">
        <f>(POWER(10,Calculate[[#This Row],[AFE_noise_ds]]/10)+POWER(10,Calculate[[#This Row],[Echo_res_ds]]/10))</f>
        <v>1.3078826601255233E-14</v>
      </c>
      <c r="V29" s="2">
        <f>10*LOG10(Calculate[[#This Row],[Linear_Noise_us]])</f>
        <v>-138.83431218049924</v>
      </c>
      <c r="W29" s="2">
        <f>10*LOG10(Calculate[[#This Row],[Linear_Noise_ds]])</f>
        <v>-138.83431218049924</v>
      </c>
      <c r="X29" s="2">
        <f>Calculate[[#This Row],[Rx_PSD_us]]-Calculate[[#This Row],[Noise_us]]</f>
        <v>31.319222136179988</v>
      </c>
      <c r="Y29" s="2">
        <f>Calculate[[#This Row],[Rx_PSD_ds]]-Calculate[[#This Row],[Noise_ds]]</f>
        <v>31.319222136179988</v>
      </c>
      <c r="Z29" s="2">
        <f>POWER(10,Calculate[[#This Row],[SNRdB_us]]/10)</f>
        <v>1354.9467064318605</v>
      </c>
      <c r="AA29" s="2">
        <f>POWER(10,Calculate[[#This Row],[SNRdB_ds]]/10)</f>
        <v>1354.9467064318605</v>
      </c>
      <c r="AB29" s="2">
        <f>-(0.002*Calculate[[#This Row],[Freq]]/1000000/2.5+0.68*(Calculate[[#This Row],[Freq]]/1000000/2.5)^0.45)</f>
        <v>-12.192141526907381</v>
      </c>
      <c r="AC29" s="2"/>
    </row>
    <row r="30" spans="1:29" x14ac:dyDescent="0.25">
      <c r="A30" s="33">
        <f t="shared" si="4"/>
        <v>1305000000</v>
      </c>
      <c r="B30" s="1">
        <f>Calculate[[#This Row],[Freq]]-A29</f>
        <v>45000000</v>
      </c>
      <c r="C30" s="1">
        <f>Channels!B30*cable_length</f>
        <v>-9.7404930654702966</v>
      </c>
      <c r="D30" s="1">
        <f>Channels!C30*PCB_trace_length</f>
        <v>-0.5066540243149954</v>
      </c>
      <c r="E30" s="1">
        <f>Calculate[[#This Row],[IL_Cable]]+Calculate[[#This Row],[IL_PCB]]</f>
        <v>-10.247147089785292</v>
      </c>
      <c r="F30" s="2">
        <f>Masks!A30</f>
        <v>-97.483719418062108</v>
      </c>
      <c r="G30" s="2">
        <f>Masks!B30</f>
        <v>-97.483719418062108</v>
      </c>
      <c r="H30" s="2">
        <f>Calculate[[#This Row],[Tx_PSD_us]]+Calculate[[#This Row],[IL]]</f>
        <v>-107.7308665078474</v>
      </c>
      <c r="I30" s="2">
        <f>Calculate[[#This Row],[Tx_PSD_ds]]+Calculate[[#This Row],[IL]]</f>
        <v>-107.7308665078474</v>
      </c>
      <c r="J30" s="2">
        <f>Masks[[#This Row],[channel_echo]]</f>
        <v>-15.990557773551057</v>
      </c>
      <c r="K30" s="2">
        <f>Masks[[#This Row],[channel_echo]]</f>
        <v>-15.990557773551057</v>
      </c>
      <c r="L30" s="2">
        <f>Calculate[[#This Row],[Echo_transfer_us]]+Calculate[[#This Row],[Tx_PSD_ds]]</f>
        <v>-113.47427719161317</v>
      </c>
      <c r="M30" s="2">
        <f>Calculate[[#This Row],[Echo_transfer_ds]]+Calculate[[#This Row],[Tx_PSD_us]]</f>
        <v>-113.47427719161317</v>
      </c>
      <c r="N30" s="2">
        <f t="shared" si="0"/>
        <v>-140</v>
      </c>
      <c r="O30" s="2">
        <f t="shared" si="1"/>
        <v>-140</v>
      </c>
      <c r="P30" s="2">
        <f t="shared" si="2"/>
        <v>6</v>
      </c>
      <c r="Q30" s="2">
        <f t="shared" si="3"/>
        <v>6</v>
      </c>
      <c r="R30" s="2">
        <f>10*LOG10((10^(Calculate[[#This Row],[Rx_echo_us]]/10))-(10^((Masks[[#This Row],[connector_echo]]+Calculate[[#This Row],[Tx_PSD_ds]])/10))*EC_conector_ratio_us)-Calculate[[#This Row],[EC_cancelation_us]]</f>
        <v>-145.12453316471894</v>
      </c>
      <c r="S30" s="2">
        <f>10*LOG10((10^(Calculate[[#This Row],[Rx_echo_ds]]/10))-(10^((Masks[[#This Row],[connector_echo]]+Calculate[[#This Row],[Tx_PSD_us]])/10))*EC_conector_ratio_ds)-Calculate[[#This Row],[EC_cancelation_ds]]</f>
        <v>-145.12453316471894</v>
      </c>
      <c r="T30" s="1">
        <f>(POWER(10,Calculate[[#This Row],[AFE_noise_us]]/10)+POWER(10,Calculate[[#This Row],[Echo_res_us]]/10))</f>
        <v>1.3072887660801086E-14</v>
      </c>
      <c r="U30" s="1">
        <f>(POWER(10,Calculate[[#This Row],[AFE_noise_ds]]/10)+POWER(10,Calculate[[#This Row],[Echo_res_ds]]/10))</f>
        <v>1.3072887660801086E-14</v>
      </c>
      <c r="V30" s="2">
        <f>10*LOG10(Calculate[[#This Row],[Linear_Noise_us]])</f>
        <v>-138.83628470825482</v>
      </c>
      <c r="W30" s="2">
        <f>10*LOG10(Calculate[[#This Row],[Linear_Noise_ds]])</f>
        <v>-138.83628470825482</v>
      </c>
      <c r="X30" s="2">
        <f>Calculate[[#This Row],[Rx_PSD_us]]-Calculate[[#This Row],[Noise_us]]</f>
        <v>31.105418200407428</v>
      </c>
      <c r="Y30" s="2">
        <f>Calculate[[#This Row],[Rx_PSD_ds]]-Calculate[[#This Row],[Noise_ds]]</f>
        <v>31.105418200407428</v>
      </c>
      <c r="Z30" s="2">
        <f>POWER(10,Calculate[[#This Row],[SNRdB_us]]/10)</f>
        <v>1289.8577577427882</v>
      </c>
      <c r="AA30" s="2">
        <f>POWER(10,Calculate[[#This Row],[SNRdB_ds]]/10)</f>
        <v>1289.8577577427882</v>
      </c>
      <c r="AB30" s="2">
        <f>-(0.002*Calculate[[#This Row],[Freq]]/1000000/2.5+0.68*(Calculate[[#This Row],[Freq]]/1000000/2.5)^0.45)</f>
        <v>-12.406153156250484</v>
      </c>
      <c r="AC30" s="2"/>
    </row>
    <row r="31" spans="1:29" x14ac:dyDescent="0.25">
      <c r="A31" s="33">
        <f t="shared" si="4"/>
        <v>1350000000</v>
      </c>
      <c r="B31" s="1">
        <f>Calculate[[#This Row],[Freq]]-A30</f>
        <v>45000000</v>
      </c>
      <c r="C31" s="1">
        <f>Channels!B31*cable_length</f>
        <v>-9.9300186771046075</v>
      </c>
      <c r="D31" s="1">
        <f>Channels!C31*PCB_trace_length</f>
        <v>-0.52197966041712041</v>
      </c>
      <c r="E31" s="1">
        <f>Calculate[[#This Row],[IL_Cable]]+Calculate[[#This Row],[IL_PCB]]</f>
        <v>-10.451998337521728</v>
      </c>
      <c r="F31" s="2">
        <f>Masks!A31</f>
        <v>-97.492402540694215</v>
      </c>
      <c r="G31" s="2">
        <f>Masks!B31</f>
        <v>-97.492402540694215</v>
      </c>
      <c r="H31" s="2">
        <f>Calculate[[#This Row],[Tx_PSD_us]]+Calculate[[#This Row],[IL]]</f>
        <v>-107.94440087821594</v>
      </c>
      <c r="I31" s="2">
        <f>Calculate[[#This Row],[Tx_PSD_ds]]+Calculate[[#This Row],[IL]]</f>
        <v>-107.94440087821594</v>
      </c>
      <c r="J31" s="2">
        <f>Masks[[#This Row],[channel_echo]]</f>
        <v>-15.860545399664883</v>
      </c>
      <c r="K31" s="2">
        <f>Masks[[#This Row],[channel_echo]]</f>
        <v>-15.860545399664883</v>
      </c>
      <c r="L31" s="2">
        <f>Calculate[[#This Row],[Echo_transfer_us]]+Calculate[[#This Row],[Tx_PSD_ds]]</f>
        <v>-113.3529479403591</v>
      </c>
      <c r="M31" s="2">
        <f>Calculate[[#This Row],[Echo_transfer_ds]]+Calculate[[#This Row],[Tx_PSD_us]]</f>
        <v>-113.3529479403591</v>
      </c>
      <c r="N31" s="2">
        <f t="shared" si="0"/>
        <v>-140</v>
      </c>
      <c r="O31" s="2">
        <f t="shared" si="1"/>
        <v>-140</v>
      </c>
      <c r="P31" s="2">
        <f t="shared" si="2"/>
        <v>6</v>
      </c>
      <c r="Q31" s="2">
        <f t="shared" si="3"/>
        <v>6</v>
      </c>
      <c r="R31" s="2">
        <f>10*LOG10((10^(Calculate[[#This Row],[Rx_echo_us]]/10))-(10^((Masks[[#This Row],[connector_echo]]+Calculate[[#This Row],[Tx_PSD_ds]])/10))*EC_conector_ratio_us)-Calculate[[#This Row],[EC_cancelation_us]]</f>
        <v>-145.13321628735756</v>
      </c>
      <c r="S31" s="2">
        <f>10*LOG10((10^(Calculate[[#This Row],[Rx_echo_ds]]/10))-(10^((Masks[[#This Row],[connector_echo]]+Calculate[[#This Row],[Tx_PSD_us]])/10))*EC_conector_ratio_ds)-Calculate[[#This Row],[EC_cancelation_ds]]</f>
        <v>-145.13321628735756</v>
      </c>
      <c r="T31" s="1">
        <f>(POWER(10,Calculate[[#This Row],[AFE_noise_us]]/10)+POWER(10,Calculate[[#This Row],[Echo_res_us]]/10))</f>
        <v>1.3066749981062638E-14</v>
      </c>
      <c r="U31" s="1">
        <f>(POWER(10,Calculate[[#This Row],[AFE_noise_ds]]/10)+POWER(10,Calculate[[#This Row],[Echo_res_ds]]/10))</f>
        <v>1.3066749981062638E-14</v>
      </c>
      <c r="V31" s="2">
        <f>10*LOG10(Calculate[[#This Row],[Linear_Noise_us]])</f>
        <v>-138.83832418602236</v>
      </c>
      <c r="W31" s="2">
        <f>10*LOG10(Calculate[[#This Row],[Linear_Noise_ds]])</f>
        <v>-138.83832418602236</v>
      </c>
      <c r="X31" s="2">
        <f>Calculate[[#This Row],[Rx_PSD_us]]-Calculate[[#This Row],[Noise_us]]</f>
        <v>30.893923307806418</v>
      </c>
      <c r="Y31" s="2">
        <f>Calculate[[#This Row],[Rx_PSD_ds]]-Calculate[[#This Row],[Noise_ds]]</f>
        <v>30.893923307806418</v>
      </c>
      <c r="Z31" s="2">
        <f>POWER(10,Calculate[[#This Row],[SNRdB_us]]/10)</f>
        <v>1228.5485700815684</v>
      </c>
      <c r="AA31" s="2">
        <f>POWER(10,Calculate[[#This Row],[SNRdB_ds]]/10)</f>
        <v>1228.5485700815684</v>
      </c>
      <c r="AB31" s="2">
        <f>-(0.002*Calculate[[#This Row],[Freq]]/1000000/2.5+0.68*(Calculate[[#This Row],[Freq]]/1000000/2.5)^0.45)</f>
        <v>-12.616819678608074</v>
      </c>
      <c r="AC31" s="2"/>
    </row>
    <row r="32" spans="1:29" x14ac:dyDescent="0.25">
      <c r="A32" s="33">
        <f t="shared" si="4"/>
        <v>1395000000</v>
      </c>
      <c r="B32" s="1">
        <f>Calculate[[#This Row],[Freq]]-A31</f>
        <v>45000000</v>
      </c>
      <c r="C32" s="1">
        <f>Channels!B32*cable_length</f>
        <v>-10.117165391093316</v>
      </c>
      <c r="D32" s="1">
        <f>Channels!C32*PCB_trace_length</f>
        <v>-0.53727042755899146</v>
      </c>
      <c r="E32" s="1">
        <f>Calculate[[#This Row],[IL_Cable]]+Calculate[[#This Row],[IL_PCB]]</f>
        <v>-10.654435818652308</v>
      </c>
      <c r="F32" s="2">
        <f>Masks!A32</f>
        <v>-97.501383677767677</v>
      </c>
      <c r="G32" s="2">
        <f>Masks!B32</f>
        <v>-97.501383677767677</v>
      </c>
      <c r="H32" s="2">
        <f>Calculate[[#This Row],[Tx_PSD_us]]+Calculate[[#This Row],[IL]]</f>
        <v>-108.15581949641998</v>
      </c>
      <c r="I32" s="2">
        <f>Calculate[[#This Row],[Tx_PSD_ds]]+Calculate[[#This Row],[IL]]</f>
        <v>-108.15581949641998</v>
      </c>
      <c r="J32" s="2">
        <f>Masks[[#This Row],[channel_echo]]</f>
        <v>-15.734312272197039</v>
      </c>
      <c r="K32" s="2">
        <f>Masks[[#This Row],[channel_echo]]</f>
        <v>-15.734312272197039</v>
      </c>
      <c r="L32" s="2">
        <f>Calculate[[#This Row],[Echo_transfer_us]]+Calculate[[#This Row],[Tx_PSD_ds]]</f>
        <v>-113.23569594996472</v>
      </c>
      <c r="M32" s="2">
        <f>Calculate[[#This Row],[Echo_transfer_ds]]+Calculate[[#This Row],[Tx_PSD_us]]</f>
        <v>-113.23569594996472</v>
      </c>
      <c r="N32" s="2">
        <f t="shared" si="0"/>
        <v>-140</v>
      </c>
      <c r="O32" s="2">
        <f t="shared" si="1"/>
        <v>-140</v>
      </c>
      <c r="P32" s="2">
        <f t="shared" si="2"/>
        <v>6</v>
      </c>
      <c r="Q32" s="2">
        <f t="shared" si="3"/>
        <v>6</v>
      </c>
      <c r="R32" s="2">
        <f>10*LOG10((10^(Calculate[[#This Row],[Rx_echo_us]]/10))-(10^((Masks[[#This Row],[connector_echo]]+Calculate[[#This Row],[Tx_PSD_ds]])/10))*EC_conector_ratio_us)-Calculate[[#This Row],[EC_cancelation_us]]</f>
        <v>-145.14219742443044</v>
      </c>
      <c r="S32" s="2">
        <f>10*LOG10((10^(Calculate[[#This Row],[Rx_echo_ds]]/10))-(10^((Masks[[#This Row],[connector_echo]]+Calculate[[#This Row],[Tx_PSD_us]])/10))*EC_conector_ratio_ds)-Calculate[[#This Row],[EC_cancelation_ds]]</f>
        <v>-145.14219742443044</v>
      </c>
      <c r="T32" s="1">
        <f>(POWER(10,Calculate[[#This Row],[AFE_noise_us]]/10)+POWER(10,Calculate[[#This Row],[Echo_res_us]]/10))</f>
        <v>1.3060414546562262E-14</v>
      </c>
      <c r="U32" s="1">
        <f>(POWER(10,Calculate[[#This Row],[AFE_noise_ds]]/10)+POWER(10,Calculate[[#This Row],[Echo_res_ds]]/10))</f>
        <v>1.3060414546562262E-14</v>
      </c>
      <c r="V32" s="2">
        <f>10*LOG10(Calculate[[#This Row],[Linear_Noise_us]])</f>
        <v>-138.8404303803589</v>
      </c>
      <c r="W32" s="2">
        <f>10*LOG10(Calculate[[#This Row],[Linear_Noise_ds]])</f>
        <v>-138.8404303803589</v>
      </c>
      <c r="X32" s="2">
        <f>Calculate[[#This Row],[Rx_PSD_us]]-Calculate[[#This Row],[Noise_us]]</f>
        <v>30.684610883938916</v>
      </c>
      <c r="Y32" s="2">
        <f>Calculate[[#This Row],[Rx_PSD_ds]]-Calculate[[#This Row],[Noise_ds]]</f>
        <v>30.684610883938916</v>
      </c>
      <c r="Z32" s="2">
        <f>POWER(10,Calculate[[#This Row],[SNRdB_us]]/10)</f>
        <v>1170.7417023439418</v>
      </c>
      <c r="AA32" s="2">
        <f>POWER(10,Calculate[[#This Row],[SNRdB_ds]]/10)</f>
        <v>1170.7417023439418</v>
      </c>
      <c r="AB32" s="2">
        <f>-(0.002*Calculate[[#This Row],[Freq]]/1000000/2.5+0.68*(Calculate[[#This Row],[Freq]]/1000000/2.5)^0.45)</f>
        <v>-12.824312413766158</v>
      </c>
      <c r="AC32" s="2"/>
    </row>
    <row r="33" spans="1:29" x14ac:dyDescent="0.25">
      <c r="A33" s="33">
        <f t="shared" si="4"/>
        <v>1440000000</v>
      </c>
      <c r="B33" s="1">
        <f>Calculate[[#This Row],[Freq]]-A32</f>
        <v>45000000</v>
      </c>
      <c r="C33" s="1">
        <f>Channels!B33*cable_length</f>
        <v>-10.302047431998776</v>
      </c>
      <c r="D33" s="1">
        <f>Channels!C33*PCB_trace_length</f>
        <v>-0.55252800000000013</v>
      </c>
      <c r="E33" s="1">
        <f>Calculate[[#This Row],[IL_Cable]]+Calculate[[#This Row],[IL_PCB]]</f>
        <v>-10.854575431998777</v>
      </c>
      <c r="F33" s="2">
        <f>Masks!A33</f>
        <v>-97.510663201064176</v>
      </c>
      <c r="G33" s="2">
        <f>Masks!B33</f>
        <v>-97.510663201064176</v>
      </c>
      <c r="H33" s="2">
        <f>Calculate[[#This Row],[Tx_PSD_us]]+Calculate[[#This Row],[IL]]</f>
        <v>-108.36523863306296</v>
      </c>
      <c r="I33" s="2">
        <f>Calculate[[#This Row],[Tx_PSD_ds]]+Calculate[[#This Row],[IL]]</f>
        <v>-108.36523863306296</v>
      </c>
      <c r="J33" s="2">
        <f>Masks[[#This Row],[channel_echo]]</f>
        <v>-15.611644870255976</v>
      </c>
      <c r="K33" s="2">
        <f>Masks[[#This Row],[channel_echo]]</f>
        <v>-15.611644870255976</v>
      </c>
      <c r="L33" s="2">
        <f>Calculate[[#This Row],[Echo_transfer_us]]+Calculate[[#This Row],[Tx_PSD_ds]]</f>
        <v>-113.12230807132015</v>
      </c>
      <c r="M33" s="2">
        <f>Calculate[[#This Row],[Echo_transfer_ds]]+Calculate[[#This Row],[Tx_PSD_us]]</f>
        <v>-113.12230807132015</v>
      </c>
      <c r="N33" s="2">
        <f t="shared" si="0"/>
        <v>-140</v>
      </c>
      <c r="O33" s="2">
        <f t="shared" si="1"/>
        <v>-140</v>
      </c>
      <c r="P33" s="2">
        <f t="shared" si="2"/>
        <v>6</v>
      </c>
      <c r="Q33" s="2">
        <f t="shared" si="3"/>
        <v>6</v>
      </c>
      <c r="R33" s="2">
        <f>10*LOG10((10^(Calculate[[#This Row],[Rx_echo_us]]/10))-(10^((Masks[[#This Row],[connector_echo]]+Calculate[[#This Row],[Tx_PSD_ds]])/10))*EC_conector_ratio_us)-Calculate[[#This Row],[EC_cancelation_us]]</f>
        <v>-145.15147694771602</v>
      </c>
      <c r="S33" s="2">
        <f>10*LOG10((10^(Calculate[[#This Row],[Rx_echo_ds]]/10))-(10^((Masks[[#This Row],[connector_echo]]+Calculate[[#This Row],[Tx_PSD_us]])/10))*EC_conector_ratio_ds)-Calculate[[#This Row],[EC_cancelation_ds]]</f>
        <v>-145.15147694771602</v>
      </c>
      <c r="T33" s="1">
        <f>(POWER(10,Calculate[[#This Row],[AFE_noise_us]]/10)+POWER(10,Calculate[[#This Row],[Echo_res_us]]/10))</f>
        <v>1.3053882372954508E-14</v>
      </c>
      <c r="U33" s="1">
        <f>(POWER(10,Calculate[[#This Row],[AFE_noise_ds]]/10)+POWER(10,Calculate[[#This Row],[Echo_res_ds]]/10))</f>
        <v>1.3053882372954508E-14</v>
      </c>
      <c r="V33" s="2">
        <f>10*LOG10(Calculate[[#This Row],[Linear_Noise_us]])</f>
        <v>-138.84260305000464</v>
      </c>
      <c r="W33" s="2">
        <f>10*LOG10(Calculate[[#This Row],[Linear_Noise_ds]])</f>
        <v>-138.84260305000464</v>
      </c>
      <c r="X33" s="2">
        <f>Calculate[[#This Row],[Rx_PSD_us]]-Calculate[[#This Row],[Noise_us]]</f>
        <v>30.477364416941683</v>
      </c>
      <c r="Y33" s="2">
        <f>Calculate[[#This Row],[Rx_PSD_ds]]-Calculate[[#This Row],[Noise_ds]]</f>
        <v>30.477364416941683</v>
      </c>
      <c r="Z33" s="2">
        <f>POWER(10,Calculate[[#This Row],[SNRdB_us]]/10)</f>
        <v>1116.1856677105086</v>
      </c>
      <c r="AA33" s="2">
        <f>POWER(10,Calculate[[#This Row],[SNRdB_ds]]/10)</f>
        <v>1116.1856677105086</v>
      </c>
      <c r="AB33" s="2">
        <f>-(0.002*Calculate[[#This Row],[Freq]]/1000000/2.5+0.68*(Calculate[[#This Row],[Freq]]/1000000/2.5)^0.45)</f>
        <v>-13.028788706594037</v>
      </c>
      <c r="AC33" s="2"/>
    </row>
    <row r="34" spans="1:29" x14ac:dyDescent="0.25">
      <c r="A34" s="33">
        <f t="shared" si="4"/>
        <v>1485000000</v>
      </c>
      <c r="B34" s="1">
        <f>Calculate[[#This Row],[Freq]]-A33</f>
        <v>45000000</v>
      </c>
      <c r="C34" s="1">
        <f>Channels!B34*cable_length</f>
        <v>-10.484770165885148</v>
      </c>
      <c r="D34" s="1">
        <f>Channels!C34*PCB_trace_length</f>
        <v>-0.56775392215510267</v>
      </c>
      <c r="E34" s="1">
        <f>Calculate[[#This Row],[IL_Cable]]+Calculate[[#This Row],[IL_PCB]]</f>
        <v>-11.052524088040251</v>
      </c>
      <c r="F34" s="2">
        <f>Masks!A34</f>
        <v>-97.520241495327298</v>
      </c>
      <c r="G34" s="2">
        <f>Masks!B34</f>
        <v>-97.520241495327298</v>
      </c>
      <c r="H34" s="2">
        <f>Calculate[[#This Row],[Tx_PSD_us]]+Calculate[[#This Row],[IL]]</f>
        <v>-108.57276558336756</v>
      </c>
      <c r="I34" s="2">
        <f>Calculate[[#This Row],[Tx_PSD_ds]]+Calculate[[#This Row],[IL]]</f>
        <v>-108.57276558336756</v>
      </c>
      <c r="J34" s="2">
        <f>Masks[[#This Row],[channel_echo]]</f>
        <v>-15.492347272264437</v>
      </c>
      <c r="K34" s="2">
        <f>Masks[[#This Row],[channel_echo]]</f>
        <v>-15.492347272264437</v>
      </c>
      <c r="L34" s="2">
        <f>Calculate[[#This Row],[Echo_transfer_us]]+Calculate[[#This Row],[Tx_PSD_ds]]</f>
        <v>-113.01258876759174</v>
      </c>
      <c r="M34" s="2">
        <f>Calculate[[#This Row],[Echo_transfer_ds]]+Calculate[[#This Row],[Tx_PSD_us]]</f>
        <v>-113.01258876759174</v>
      </c>
      <c r="N34" s="2">
        <f t="shared" ref="N34:N65" si="5">AFE_noise_us</f>
        <v>-140</v>
      </c>
      <c r="O34" s="2">
        <f t="shared" ref="O34:O65" si="6">AFE_noise_ds</f>
        <v>-140</v>
      </c>
      <c r="P34" s="2">
        <f t="shared" ref="P34:P65" si="7">EC_cancel_us</f>
        <v>6</v>
      </c>
      <c r="Q34" s="2">
        <f t="shared" ref="Q34:Q65" si="8">EC_cancel_ds</f>
        <v>6</v>
      </c>
      <c r="R34" s="2">
        <f>10*LOG10((10^(Calculate[[#This Row],[Rx_echo_us]]/10))-(10^((Masks[[#This Row],[connector_echo]]+Calculate[[#This Row],[Tx_PSD_ds]])/10))*EC_conector_ratio_us)-Calculate[[#This Row],[EC_cancelation_us]]</f>
        <v>-145.16105524198531</v>
      </c>
      <c r="S34" s="2">
        <f>10*LOG10((10^(Calculate[[#This Row],[Rx_echo_ds]]/10))-(10^((Masks[[#This Row],[connector_echo]]+Calculate[[#This Row],[Tx_PSD_us]])/10))*EC_conector_ratio_ds)-Calculate[[#This Row],[EC_cancelation_ds]]</f>
        <v>-145.16105524198531</v>
      </c>
      <c r="T34" s="1">
        <f>(POWER(10,Calculate[[#This Row],[AFE_noise_us]]/10)+POWER(10,Calculate[[#This Row],[Echo_res_us]]/10))</f>
        <v>1.3047154506802652E-14</v>
      </c>
      <c r="U34" s="1">
        <f>(POWER(10,Calculate[[#This Row],[AFE_noise_ds]]/10)+POWER(10,Calculate[[#This Row],[Echo_res_ds]]/10))</f>
        <v>1.3047154506802652E-14</v>
      </c>
      <c r="V34" s="2">
        <f>10*LOG10(Calculate[[#This Row],[Linear_Noise_us]])</f>
        <v>-138.84484194589442</v>
      </c>
      <c r="W34" s="2">
        <f>10*LOG10(Calculate[[#This Row],[Linear_Noise_ds]])</f>
        <v>-138.84484194589442</v>
      </c>
      <c r="X34" s="2">
        <f>Calculate[[#This Row],[Rx_PSD_us]]-Calculate[[#This Row],[Noise_us]]</f>
        <v>30.27207636252686</v>
      </c>
      <c r="Y34" s="2">
        <f>Calculate[[#This Row],[Rx_PSD_ds]]-Calculate[[#This Row],[Noise_ds]]</f>
        <v>30.27207636252686</v>
      </c>
      <c r="Z34" s="2">
        <f>POWER(10,Calculate[[#This Row],[SNRdB_us]]/10)</f>
        <v>1064.6519067906763</v>
      </c>
      <c r="AA34" s="2">
        <f>POWER(10,Calculate[[#This Row],[SNRdB_ds]]/10)</f>
        <v>1064.6519067906763</v>
      </c>
      <c r="AB34" s="2">
        <f>-(0.002*Calculate[[#This Row],[Freq]]/1000000/2.5+0.68*(Calculate[[#This Row],[Freq]]/1000000/2.5)^0.45)</f>
        <v>-13.23039346503745</v>
      </c>
      <c r="AC34" s="2"/>
    </row>
    <row r="35" spans="1:29" x14ac:dyDescent="0.25">
      <c r="A35" s="33">
        <f t="shared" ref="A35:A66" si="9">f_step+A34</f>
        <v>1530000000</v>
      </c>
      <c r="B35" s="1">
        <f>Calculate[[#This Row],[Freq]]-A34</f>
        <v>45000000</v>
      </c>
      <c r="C35" s="1">
        <f>Channels!B35*cable_length</f>
        <v>-10.665431033293812</v>
      </c>
      <c r="D35" s="1">
        <f>Channels!C35*PCB_trace_length</f>
        <v>-0.58294962227001235</v>
      </c>
      <c r="E35" s="1">
        <f>Calculate[[#This Row],[IL_Cable]]+Calculate[[#This Row],[IL_PCB]]</f>
        <v>-11.248380655563825</v>
      </c>
      <c r="F35" s="2">
        <f>Masks!A35</f>
        <v>-97.530118958339358</v>
      </c>
      <c r="G35" s="2">
        <f>Masks!B35</f>
        <v>-97.530118958339358</v>
      </c>
      <c r="H35" s="2">
        <f>Calculate[[#This Row],[Tx_PSD_us]]+Calculate[[#This Row],[IL]]</f>
        <v>-108.77849961390318</v>
      </c>
      <c r="I35" s="2">
        <f>Calculate[[#This Row],[Tx_PSD_ds]]+Calculate[[#This Row],[IL]]</f>
        <v>-108.77849961390318</v>
      </c>
      <c r="J35" s="2">
        <f>Masks[[#This Row],[channel_echo]]</f>
        <v>-15.376239273418044</v>
      </c>
      <c r="K35" s="2">
        <f>Masks[[#This Row],[channel_echo]]</f>
        <v>-15.376239273418044</v>
      </c>
      <c r="L35" s="2">
        <f>Calculate[[#This Row],[Echo_transfer_us]]+Calculate[[#This Row],[Tx_PSD_ds]]</f>
        <v>-112.90635823175739</v>
      </c>
      <c r="M35" s="2">
        <f>Calculate[[#This Row],[Echo_transfer_ds]]+Calculate[[#This Row],[Tx_PSD_us]]</f>
        <v>-112.90635823175739</v>
      </c>
      <c r="N35" s="2">
        <f t="shared" si="5"/>
        <v>-140</v>
      </c>
      <c r="O35" s="2">
        <f t="shared" si="6"/>
        <v>-140</v>
      </c>
      <c r="P35" s="2">
        <f t="shared" si="7"/>
        <v>6</v>
      </c>
      <c r="Q35" s="2">
        <f t="shared" si="8"/>
        <v>6</v>
      </c>
      <c r="R35" s="2">
        <f>10*LOG10((10^(Calculate[[#This Row],[Rx_echo_us]]/10))-(10^((Masks[[#This Row],[connector_echo]]+Calculate[[#This Row],[Tx_PSD_ds]])/10))*EC_conector_ratio_us)-Calculate[[#This Row],[EC_cancelation_us]]</f>
        <v>-145.17093270499362</v>
      </c>
      <c r="S35" s="2">
        <f>10*LOG10((10^(Calculate[[#This Row],[Rx_echo_ds]]/10))-(10^((Masks[[#This Row],[connector_echo]]+Calculate[[#This Row],[Tx_PSD_us]])/10))*EC_conector_ratio_ds)-Calculate[[#This Row],[EC_cancelation_ds]]</f>
        <v>-145.17093270499362</v>
      </c>
      <c r="T35" s="1">
        <f>(POWER(10,Calculate[[#This Row],[AFE_noise_us]]/10)+POWER(10,Calculate[[#This Row],[Echo_res_us]]/10))</f>
        <v>1.3040232025413209E-14</v>
      </c>
      <c r="U35" s="1">
        <f>(POWER(10,Calculate[[#This Row],[AFE_noise_ds]]/10)+POWER(10,Calculate[[#This Row],[Echo_res_ds]]/10))</f>
        <v>1.3040232025413209E-14</v>
      </c>
      <c r="V35" s="2">
        <f>10*LOG10(Calculate[[#This Row],[Linear_Noise_us]])</f>
        <v>-138.84714681114824</v>
      </c>
      <c r="W35" s="2">
        <f>10*LOG10(Calculate[[#This Row],[Linear_Noise_ds]])</f>
        <v>-138.84714681114824</v>
      </c>
      <c r="X35" s="2">
        <f>Calculate[[#This Row],[Rx_PSD_us]]-Calculate[[#This Row],[Noise_us]]</f>
        <v>30.068647197245056</v>
      </c>
      <c r="Y35" s="2">
        <f>Calculate[[#This Row],[Rx_PSD_ds]]-Calculate[[#This Row],[Noise_ds]]</f>
        <v>30.068647197245056</v>
      </c>
      <c r="Z35" s="2">
        <f>POWER(10,Calculate[[#This Row],[SNRdB_us]]/10)</f>
        <v>1015.9321864465514</v>
      </c>
      <c r="AA35" s="2">
        <f>POWER(10,Calculate[[#This Row],[SNRdB_ds]]/10)</f>
        <v>1015.9321864465514</v>
      </c>
      <c r="AB35" s="2">
        <f>-(0.002*Calculate[[#This Row],[Freq]]/1000000/2.5+0.68*(Calculate[[#This Row],[Freq]]/1000000/2.5)^0.45)</f>
        <v>-13.429260487670479</v>
      </c>
      <c r="AC35" s="2"/>
    </row>
    <row r="36" spans="1:29" x14ac:dyDescent="0.25">
      <c r="A36" s="33">
        <f t="shared" si="9"/>
        <v>1575000000</v>
      </c>
      <c r="B36" s="1">
        <f>Calculate[[#This Row],[Freq]]-A35</f>
        <v>45000000</v>
      </c>
      <c r="C36" s="1">
        <f>Channels!B36*cable_length</f>
        <v>-10.844120359560939</v>
      </c>
      <c r="D36" s="1">
        <f>Channels!C36*PCB_trace_length</f>
        <v>-0.5981164242985203</v>
      </c>
      <c r="E36" s="1">
        <f>Calculate[[#This Row],[IL_Cable]]+Calculate[[#This Row],[IL_PCB]]</f>
        <v>-11.44223678385946</v>
      </c>
      <c r="F36" s="2">
        <f>Masks!A36</f>
        <v>-97.540296001001281</v>
      </c>
      <c r="G36" s="2">
        <f>Masks!B36</f>
        <v>-97.540296001001281</v>
      </c>
      <c r="H36" s="2">
        <f>Calculate[[#This Row],[Tx_PSD_us]]+Calculate[[#This Row],[IL]]</f>
        <v>-108.98253278486074</v>
      </c>
      <c r="I36" s="2">
        <f>Calculate[[#This Row],[Tx_PSD_ds]]+Calculate[[#This Row],[IL]]</f>
        <v>-108.98253278486074</v>
      </c>
      <c r="J36" s="2">
        <f>Masks[[#This Row],[channel_echo]]</f>
        <v>-15.263154748313458</v>
      </c>
      <c r="K36" s="2">
        <f>Masks[[#This Row],[channel_echo]]</f>
        <v>-15.263154748313458</v>
      </c>
      <c r="L36" s="2">
        <f>Calculate[[#This Row],[Echo_transfer_us]]+Calculate[[#This Row],[Tx_PSD_ds]]</f>
        <v>-112.80345074931473</v>
      </c>
      <c r="M36" s="2">
        <f>Calculate[[#This Row],[Echo_transfer_ds]]+Calculate[[#This Row],[Tx_PSD_us]]</f>
        <v>-112.80345074931473</v>
      </c>
      <c r="N36" s="2">
        <f t="shared" si="5"/>
        <v>-140</v>
      </c>
      <c r="O36" s="2">
        <f t="shared" si="6"/>
        <v>-140</v>
      </c>
      <c r="P36" s="2">
        <f t="shared" si="7"/>
        <v>6</v>
      </c>
      <c r="Q36" s="2">
        <f t="shared" si="8"/>
        <v>6</v>
      </c>
      <c r="R36" s="2">
        <f>10*LOG10((10^(Calculate[[#This Row],[Rx_echo_us]]/10))-(10^((Masks[[#This Row],[connector_echo]]+Calculate[[#This Row],[Tx_PSD_ds]])/10))*EC_conector_ratio_us)-Calculate[[#This Row],[EC_cancelation_us]]</f>
        <v>-145.18110974765884</v>
      </c>
      <c r="S36" s="2">
        <f>10*LOG10((10^(Calculate[[#This Row],[Rx_echo_ds]]/10))-(10^((Masks[[#This Row],[connector_echo]]+Calculate[[#This Row],[Tx_PSD_us]])/10))*EC_conector_ratio_ds)-Calculate[[#This Row],[EC_cancelation_ds]]</f>
        <v>-145.18110974765884</v>
      </c>
      <c r="T36" s="1">
        <f>(POWER(10,Calculate[[#This Row],[AFE_noise_us]]/10)+POWER(10,Calculate[[#This Row],[Echo_res_us]]/10))</f>
        <v>1.3033116036534853E-14</v>
      </c>
      <c r="U36" s="1">
        <f>(POWER(10,Calculate[[#This Row],[AFE_noise_ds]]/10)+POWER(10,Calculate[[#This Row],[Echo_res_ds]]/10))</f>
        <v>1.3033116036534853E-14</v>
      </c>
      <c r="V36" s="2">
        <f>10*LOG10(Calculate[[#This Row],[Linear_Noise_us]])</f>
        <v>-138.84951738110539</v>
      </c>
      <c r="W36" s="2">
        <f>10*LOG10(Calculate[[#This Row],[Linear_Noise_ds]])</f>
        <v>-138.84951738110539</v>
      </c>
      <c r="X36" s="2">
        <f>Calculate[[#This Row],[Rx_PSD_us]]-Calculate[[#This Row],[Noise_us]]</f>
        <v>29.866984596244649</v>
      </c>
      <c r="Y36" s="2">
        <f>Calculate[[#This Row],[Rx_PSD_ds]]-Calculate[[#This Row],[Noise_ds]]</f>
        <v>29.866984596244649</v>
      </c>
      <c r="Z36" s="2">
        <f>POWER(10,Calculate[[#This Row],[SNRdB_us]]/10)</f>
        <v>969.83635434070527</v>
      </c>
      <c r="AA36" s="2">
        <f>POWER(10,Calculate[[#This Row],[SNRdB_ds]]/10)</f>
        <v>969.83635434070527</v>
      </c>
      <c r="AB36" s="2">
        <f>-(0.002*Calculate[[#This Row],[Freq]]/1000000/2.5+0.68*(Calculate[[#This Row],[Freq]]/1000000/2.5)^0.45)</f>
        <v>-13.625513614907099</v>
      </c>
      <c r="AC36" s="2"/>
    </row>
    <row r="37" spans="1:29" x14ac:dyDescent="0.25">
      <c r="A37" s="33">
        <f t="shared" si="9"/>
        <v>1620000000</v>
      </c>
      <c r="B37" s="1">
        <f>Calculate[[#This Row],[Freq]]-A36</f>
        <v>45000000</v>
      </c>
      <c r="C37" s="1">
        <f>Channels!B37*cable_length</f>
        <v>-11.020922061628974</v>
      </c>
      <c r="D37" s="1">
        <f>Channels!C37*PCB_trace_length</f>
        <v>-0.61325555826266487</v>
      </c>
      <c r="E37" s="1">
        <f>Calculate[[#This Row],[IL_Cable]]+Calculate[[#This Row],[IL_PCB]]</f>
        <v>-11.63417761989164</v>
      </c>
      <c r="F37" s="2">
        <f>Masks!A37</f>
        <v>-97.550773047415191</v>
      </c>
      <c r="G37" s="2">
        <f>Masks!B37</f>
        <v>-97.550773047415191</v>
      </c>
      <c r="H37" s="2">
        <f>Calculate[[#This Row],[Tx_PSD_us]]+Calculate[[#This Row],[IL]]</f>
        <v>-109.18495066730684</v>
      </c>
      <c r="I37" s="2">
        <f>Calculate[[#This Row],[Tx_PSD_ds]]+Calculate[[#This Row],[IL]]</f>
        <v>-109.18495066730684</v>
      </c>
      <c r="J37" s="2">
        <f>Masks[[#This Row],[channel_echo]]</f>
        <v>-15.152940221401757</v>
      </c>
      <c r="K37" s="2">
        <f>Masks[[#This Row],[channel_echo]]</f>
        <v>-15.152940221401757</v>
      </c>
      <c r="L37" s="2">
        <f>Calculate[[#This Row],[Echo_transfer_us]]+Calculate[[#This Row],[Tx_PSD_ds]]</f>
        <v>-112.70371326881695</v>
      </c>
      <c r="M37" s="2">
        <f>Calculate[[#This Row],[Echo_transfer_ds]]+Calculate[[#This Row],[Tx_PSD_us]]</f>
        <v>-112.70371326881695</v>
      </c>
      <c r="N37" s="2">
        <f t="shared" si="5"/>
        <v>-140</v>
      </c>
      <c r="O37" s="2">
        <f t="shared" si="6"/>
        <v>-140</v>
      </c>
      <c r="P37" s="2">
        <f t="shared" si="7"/>
        <v>6</v>
      </c>
      <c r="Q37" s="2">
        <f t="shared" si="8"/>
        <v>6</v>
      </c>
      <c r="R37" s="2">
        <f>10*LOG10((10^(Calculate[[#This Row],[Rx_echo_us]]/10))-(10^((Masks[[#This Row],[connector_echo]]+Calculate[[#This Row],[Tx_PSD_ds]])/10))*EC_conector_ratio_us)-Calculate[[#This Row],[EC_cancelation_us]]</f>
        <v>-145.19158679407917</v>
      </c>
      <c r="S37" s="2">
        <f>10*LOG10((10^(Calculate[[#This Row],[Rx_echo_ds]]/10))-(10^((Masks[[#This Row],[connector_echo]]+Calculate[[#This Row],[Tx_PSD_us]])/10))*EC_conector_ratio_ds)-Calculate[[#This Row],[EC_cancelation_ds]]</f>
        <v>-145.19158679407917</v>
      </c>
      <c r="T37" s="1">
        <f>(POWER(10,Calculate[[#This Row],[AFE_noise_us]]/10)+POWER(10,Calculate[[#This Row],[Echo_res_us]]/10))</f>
        <v>1.3025807678165744E-14</v>
      </c>
      <c r="U37" s="1">
        <f>(POWER(10,Calculate[[#This Row],[AFE_noise_ds]]/10)+POWER(10,Calculate[[#This Row],[Echo_res_ds]]/10))</f>
        <v>1.3025807678165744E-14</v>
      </c>
      <c r="V37" s="2">
        <f>10*LOG10(Calculate[[#This Row],[Linear_Noise_us]])</f>
        <v>-138.85195338332056</v>
      </c>
      <c r="W37" s="2">
        <f>10*LOG10(Calculate[[#This Row],[Linear_Noise_ds]])</f>
        <v>-138.85195338332056</v>
      </c>
      <c r="X37" s="2">
        <f>Calculate[[#This Row],[Rx_PSD_us]]-Calculate[[#This Row],[Noise_us]]</f>
        <v>29.667002716013727</v>
      </c>
      <c r="Y37" s="2">
        <f>Calculate[[#This Row],[Rx_PSD_ds]]-Calculate[[#This Row],[Noise_ds]]</f>
        <v>29.667002716013727</v>
      </c>
      <c r="Z37" s="2">
        <f>POWER(10,Calculate[[#This Row],[SNRdB_us]]/10)</f>
        <v>926.19039232165289</v>
      </c>
      <c r="AA37" s="2">
        <f>POWER(10,Calculate[[#This Row],[SNRdB_ds]]/10)</f>
        <v>926.19039232165289</v>
      </c>
      <c r="AB37" s="2">
        <f>-(0.002*Calculate[[#This Row],[Freq]]/1000000/2.5+0.68*(Calculate[[#This Row],[Freq]]/1000000/2.5)^0.45)</f>
        <v>-13.819267731636135</v>
      </c>
      <c r="AC37" s="2"/>
    </row>
    <row r="38" spans="1:29" x14ac:dyDescent="0.25">
      <c r="A38" s="33">
        <f t="shared" si="9"/>
        <v>1665000000</v>
      </c>
      <c r="B38" s="1">
        <f>Calculate[[#This Row],[Freq]]-A37</f>
        <v>45000000</v>
      </c>
      <c r="C38" s="1">
        <f>Channels!B38*cable_length</f>
        <v>-11.195914267066911</v>
      </c>
      <c r="D38" s="1">
        <f>Channels!C38*PCB_trace_length</f>
        <v>-0.62836816932609063</v>
      </c>
      <c r="E38" s="1">
        <f>Calculate[[#This Row],[IL_Cable]]+Calculate[[#This Row],[IL_PCB]]</f>
        <v>-11.824282436393002</v>
      </c>
      <c r="F38" s="2">
        <f>Masks!A38</f>
        <v>-97.561550534969811</v>
      </c>
      <c r="G38" s="2">
        <f>Masks!B38</f>
        <v>-97.561550534969811</v>
      </c>
      <c r="H38" s="2">
        <f>Calculate[[#This Row],[Tx_PSD_us]]+Calculate[[#This Row],[IL]]</f>
        <v>-109.38583297136282</v>
      </c>
      <c r="I38" s="2">
        <f>Calculate[[#This Row],[Tx_PSD_ds]]+Calculate[[#This Row],[IL]]</f>
        <v>-109.38583297136282</v>
      </c>
      <c r="J38" s="2">
        <f>Masks[[#This Row],[channel_echo]]</f>
        <v>-15.045453614394923</v>
      </c>
      <c r="K38" s="2">
        <f>Masks[[#This Row],[channel_echo]]</f>
        <v>-15.045453614394923</v>
      </c>
      <c r="L38" s="2">
        <f>Calculate[[#This Row],[Echo_transfer_us]]+Calculate[[#This Row],[Tx_PSD_ds]]</f>
        <v>-112.60700414936474</v>
      </c>
      <c r="M38" s="2">
        <f>Calculate[[#This Row],[Echo_transfer_ds]]+Calculate[[#This Row],[Tx_PSD_us]]</f>
        <v>-112.60700414936474</v>
      </c>
      <c r="N38" s="2">
        <f t="shared" si="5"/>
        <v>-140</v>
      </c>
      <c r="O38" s="2">
        <f t="shared" si="6"/>
        <v>-140</v>
      </c>
      <c r="P38" s="2">
        <f t="shared" si="7"/>
        <v>6</v>
      </c>
      <c r="Q38" s="2">
        <f t="shared" si="8"/>
        <v>6</v>
      </c>
      <c r="R38" s="2">
        <f>10*LOG10((10^(Calculate[[#This Row],[Rx_echo_us]]/10))-(10^((Masks[[#This Row],[connector_echo]]+Calculate[[#This Row],[Tx_PSD_ds]])/10))*EC_conector_ratio_us)-Calculate[[#This Row],[EC_cancelation_us]]</f>
        <v>-145.20236428164009</v>
      </c>
      <c r="S38" s="2">
        <f>10*LOG10((10^(Calculate[[#This Row],[Rx_echo_ds]]/10))-(10^((Masks[[#This Row],[connector_echo]]+Calculate[[#This Row],[Tx_PSD_us]])/10))*EC_conector_ratio_ds)-Calculate[[#This Row],[EC_cancelation_ds]]</f>
        <v>-145.20236428164009</v>
      </c>
      <c r="T38" s="1">
        <f>(POWER(10,Calculate[[#This Row],[AFE_noise_us]]/10)+POWER(10,Calculate[[#This Row],[Echo_res_us]]/10))</f>
        <v>1.3018308118293646E-14</v>
      </c>
      <c r="U38" s="1">
        <f>(POWER(10,Calculate[[#This Row],[AFE_noise_ds]]/10)+POWER(10,Calculate[[#This Row],[Echo_res_ds]]/10))</f>
        <v>1.3018308118293646E-14</v>
      </c>
      <c r="V38" s="2">
        <f>10*LOG10(Calculate[[#This Row],[Linear_Noise_us]])</f>
        <v>-138.85445453758098</v>
      </c>
      <c r="W38" s="2">
        <f>10*LOG10(Calculate[[#This Row],[Linear_Noise_ds]])</f>
        <v>-138.85445453758098</v>
      </c>
      <c r="X38" s="2">
        <f>Calculate[[#This Row],[Rx_PSD_us]]-Calculate[[#This Row],[Noise_us]]</f>
        <v>29.468621566218161</v>
      </c>
      <c r="Y38" s="2">
        <f>Calculate[[#This Row],[Rx_PSD_ds]]-Calculate[[#This Row],[Noise_ds]]</f>
        <v>29.468621566218161</v>
      </c>
      <c r="Z38" s="2">
        <f>POWER(10,Calculate[[#This Row],[SNRdB_us]]/10)</f>
        <v>884.83472216003065</v>
      </c>
      <c r="AA38" s="2">
        <f>POWER(10,Calculate[[#This Row],[SNRdB_ds]]/10)</f>
        <v>884.83472216003065</v>
      </c>
      <c r="AB38" s="2">
        <f>-(0.002*Calculate[[#This Row],[Freq]]/1000000/2.5+0.68*(Calculate[[#This Row],[Freq]]/1000000/2.5)^0.45)</f>
        <v>-14.010629644026418</v>
      </c>
      <c r="AC38" s="2"/>
    </row>
    <row r="39" spans="1:29" x14ac:dyDescent="0.25">
      <c r="A39" s="33">
        <f t="shared" si="9"/>
        <v>1710000000</v>
      </c>
      <c r="B39" s="1">
        <f>Calculate[[#This Row],[Freq]]-A38</f>
        <v>45000000</v>
      </c>
      <c r="C39" s="1">
        <f>Channels!B39*cable_length</f>
        <v>-11.369169858270054</v>
      </c>
      <c r="D39" s="1">
        <f>Channels!C39*PCB_trace_length</f>
        <v>-0.64345532577071796</v>
      </c>
      <c r="E39" s="1">
        <f>Calculate[[#This Row],[IL_Cable]]+Calculate[[#This Row],[IL_PCB]]</f>
        <v>-12.012625184040772</v>
      </c>
      <c r="F39" s="2">
        <f>Masks!A39</f>
        <v>-97.572628914428989</v>
      </c>
      <c r="G39" s="2">
        <f>Masks!B39</f>
        <v>-97.572628914428989</v>
      </c>
      <c r="H39" s="2">
        <f>Calculate[[#This Row],[Tx_PSD_us]]+Calculate[[#This Row],[IL]]</f>
        <v>-109.58525409846976</v>
      </c>
      <c r="I39" s="2">
        <f>Calculate[[#This Row],[Tx_PSD_ds]]+Calculate[[#This Row],[IL]]</f>
        <v>-109.58525409846976</v>
      </c>
      <c r="J39" s="2">
        <f>Masks[[#This Row],[channel_echo]]</f>
        <v>-14.940563144974737</v>
      </c>
      <c r="K39" s="2">
        <f>Masks[[#This Row],[channel_echo]]</f>
        <v>-14.940563144974737</v>
      </c>
      <c r="L39" s="2">
        <f>Calculate[[#This Row],[Echo_transfer_us]]+Calculate[[#This Row],[Tx_PSD_ds]]</f>
        <v>-112.51319205940372</v>
      </c>
      <c r="M39" s="2">
        <f>Calculate[[#This Row],[Echo_transfer_ds]]+Calculate[[#This Row],[Tx_PSD_us]]</f>
        <v>-112.51319205940372</v>
      </c>
      <c r="N39" s="2">
        <f t="shared" si="5"/>
        <v>-140</v>
      </c>
      <c r="O39" s="2">
        <f t="shared" si="6"/>
        <v>-140</v>
      </c>
      <c r="P39" s="2">
        <f t="shared" si="7"/>
        <v>6</v>
      </c>
      <c r="Q39" s="2">
        <f t="shared" si="8"/>
        <v>6</v>
      </c>
      <c r="R39" s="2">
        <f>10*LOG10((10^(Calculate[[#This Row],[Rx_echo_us]]/10))-(10^((Masks[[#This Row],[connector_echo]]+Calculate[[#This Row],[Tx_PSD_ds]])/10))*EC_conector_ratio_us)-Calculate[[#This Row],[EC_cancelation_us]]</f>
        <v>-145.2134426610865</v>
      </c>
      <c r="S39" s="2">
        <f>10*LOG10((10^(Calculate[[#This Row],[Rx_echo_ds]]/10))-(10^((Masks[[#This Row],[connector_echo]]+Calculate[[#This Row],[Tx_PSD_us]])/10))*EC_conector_ratio_ds)-Calculate[[#This Row],[EC_cancelation_ds]]</f>
        <v>-145.2134426610865</v>
      </c>
      <c r="T39" s="1">
        <f>(POWER(10,Calculate[[#This Row],[AFE_noise_us]]/10)+POWER(10,Calculate[[#This Row],[Echo_res_us]]/10))</f>
        <v>1.3010618554656163E-14</v>
      </c>
      <c r="U39" s="1">
        <f>(POWER(10,Calculate[[#This Row],[AFE_noise_ds]]/10)+POWER(10,Calculate[[#This Row],[Echo_res_ds]]/10))</f>
        <v>1.3010618554656163E-14</v>
      </c>
      <c r="V39" s="2">
        <f>10*LOG10(Calculate[[#This Row],[Linear_Noise_us]])</f>
        <v>-138.8570205559152</v>
      </c>
      <c r="W39" s="2">
        <f>10*LOG10(Calculate[[#This Row],[Linear_Noise_ds]])</f>
        <v>-138.8570205559152</v>
      </c>
      <c r="X39" s="2">
        <f>Calculate[[#This Row],[Rx_PSD_us]]-Calculate[[#This Row],[Noise_us]]</f>
        <v>29.271766457445437</v>
      </c>
      <c r="Y39" s="2">
        <f>Calculate[[#This Row],[Rx_PSD_ds]]-Calculate[[#This Row],[Noise_ds]]</f>
        <v>29.271766457445437</v>
      </c>
      <c r="Z39" s="2">
        <f>POWER(10,Calculate[[#This Row],[SNRdB_us]]/10)</f>
        <v>845.6227253789051</v>
      </c>
      <c r="AA39" s="2">
        <f>POWER(10,Calculate[[#This Row],[SNRdB_ds]]/10)</f>
        <v>845.6227253789051</v>
      </c>
      <c r="AB39" s="2">
        <f>-(0.002*Calculate[[#This Row],[Freq]]/1000000/2.5+0.68*(Calculate[[#This Row],[Freq]]/1000000/2.5)^0.45)</f>
        <v>-14.199698849248932</v>
      </c>
      <c r="AC39" s="2"/>
    </row>
    <row r="40" spans="1:29" x14ac:dyDescent="0.25">
      <c r="A40" s="33">
        <f t="shared" si="9"/>
        <v>1755000000</v>
      </c>
      <c r="B40" s="1">
        <f>Calculate[[#This Row],[Freq]]-A39</f>
        <v>45000000</v>
      </c>
      <c r="C40" s="1">
        <f>Channels!B40*cable_length</f>
        <v>-11.540756952604273</v>
      </c>
      <c r="D40" s="1">
        <f>Channels!C40*PCB_trace_length</f>
        <v>-0.65851802603451115</v>
      </c>
      <c r="E40" s="1">
        <f>Calculate[[#This Row],[IL_Cable]]+Calculate[[#This Row],[IL_PCB]]</f>
        <v>-12.199274978638783</v>
      </c>
      <c r="F40" s="2">
        <f>Masks!A40</f>
        <v>-97.584008650022952</v>
      </c>
      <c r="G40" s="2">
        <f>Masks!B40</f>
        <v>-97.584008650022952</v>
      </c>
      <c r="H40" s="2">
        <f>Calculate[[#This Row],[Tx_PSD_us]]+Calculate[[#This Row],[IL]]</f>
        <v>-109.78328362866174</v>
      </c>
      <c r="I40" s="2">
        <f>Calculate[[#This Row],[Tx_PSD_ds]]+Calculate[[#This Row],[IL]]</f>
        <v>-109.78328362866174</v>
      </c>
      <c r="J40" s="2">
        <f>Masks[[#This Row],[channel_echo]]</f>
        <v>-14.838146355389183</v>
      </c>
      <c r="K40" s="2">
        <f>Masks[[#This Row],[channel_echo]]</f>
        <v>-14.838146355389183</v>
      </c>
      <c r="L40" s="2">
        <f>Calculate[[#This Row],[Echo_transfer_us]]+Calculate[[#This Row],[Tx_PSD_ds]]</f>
        <v>-112.42215500541214</v>
      </c>
      <c r="M40" s="2">
        <f>Calculate[[#This Row],[Echo_transfer_ds]]+Calculate[[#This Row],[Tx_PSD_us]]</f>
        <v>-112.42215500541214</v>
      </c>
      <c r="N40" s="2">
        <f t="shared" si="5"/>
        <v>-140</v>
      </c>
      <c r="O40" s="2">
        <f t="shared" si="6"/>
        <v>-140</v>
      </c>
      <c r="P40" s="2">
        <f t="shared" si="7"/>
        <v>6</v>
      </c>
      <c r="Q40" s="2">
        <f t="shared" si="8"/>
        <v>6</v>
      </c>
      <c r="R40" s="2">
        <f>10*LOG10((10^(Calculate[[#This Row],[Rx_echo_us]]/10))-(10^((Masks[[#This Row],[connector_echo]]+Calculate[[#This Row],[Tx_PSD_ds]])/10))*EC_conector_ratio_us)-Calculate[[#This Row],[EC_cancelation_us]]</f>
        <v>-145.22482239668687</v>
      </c>
      <c r="S40" s="2">
        <f>10*LOG10((10^(Calculate[[#This Row],[Rx_echo_ds]]/10))-(10^((Masks[[#This Row],[connector_echo]]+Calculate[[#This Row],[Tx_PSD_us]])/10))*EC_conector_ratio_ds)-Calculate[[#This Row],[EC_cancelation_ds]]</f>
        <v>-145.22482239668687</v>
      </c>
      <c r="T40" s="1">
        <f>(POWER(10,Calculate[[#This Row],[AFE_noise_us]]/10)+POWER(10,Calculate[[#This Row],[Echo_res_us]]/10))</f>
        <v>1.3002740214433001E-14</v>
      </c>
      <c r="U40" s="1">
        <f>(POWER(10,Calculate[[#This Row],[AFE_noise_ds]]/10)+POWER(10,Calculate[[#This Row],[Echo_res_ds]]/10))</f>
        <v>1.3002740214433001E-14</v>
      </c>
      <c r="V40" s="2">
        <f>10*LOG10(Calculate[[#This Row],[Linear_Noise_us]])</f>
        <v>-138.85965114262297</v>
      </c>
      <c r="W40" s="2">
        <f>10*LOG10(Calculate[[#This Row],[Linear_Noise_ds]])</f>
        <v>-138.85965114262297</v>
      </c>
      <c r="X40" s="2">
        <f>Calculate[[#This Row],[Rx_PSD_us]]-Calculate[[#This Row],[Noise_us]]</f>
        <v>29.07636751396123</v>
      </c>
      <c r="Y40" s="2">
        <f>Calculate[[#This Row],[Rx_PSD_ds]]-Calculate[[#This Row],[Noise_ds]]</f>
        <v>29.07636751396123</v>
      </c>
      <c r="Z40" s="2">
        <f>POWER(10,Calculate[[#This Row],[SNRdB_us]]/10)</f>
        <v>808.41944554962254</v>
      </c>
      <c r="AA40" s="2">
        <f>POWER(10,Calculate[[#This Row],[SNRdB_ds]]/10)</f>
        <v>808.41944554962254</v>
      </c>
      <c r="AB40" s="2">
        <f>-(0.002*Calculate[[#This Row],[Freq]]/1000000/2.5+0.68*(Calculate[[#This Row],[Freq]]/1000000/2.5)^0.45)</f>
        <v>-14.386568213652412</v>
      </c>
      <c r="AC40" s="2"/>
    </row>
    <row r="41" spans="1:29" x14ac:dyDescent="0.25">
      <c r="A41" s="33">
        <f t="shared" si="9"/>
        <v>1800000000</v>
      </c>
      <c r="B41" s="1">
        <f>Calculate[[#This Row],[Freq]]-A40</f>
        <v>45000000</v>
      </c>
      <c r="C41" s="1">
        <f>Channels!B41*cable_length</f>
        <v>-11.710739327475716</v>
      </c>
      <c r="D41" s="1">
        <f>Channels!C41*PCB_trace_length</f>
        <v>-0.67355720494198634</v>
      </c>
      <c r="E41" s="1">
        <f>Calculate[[#This Row],[IL_Cable]]+Calculate[[#This Row],[IL_PCB]]</f>
        <v>-12.384296532417702</v>
      </c>
      <c r="F41" s="2">
        <f>Masks!A41</f>
        <v>-97.595690219542689</v>
      </c>
      <c r="G41" s="2">
        <f>Masks!B41</f>
        <v>-97.595690219542689</v>
      </c>
      <c r="H41" s="2">
        <f>Calculate[[#This Row],[Tx_PSD_us]]+Calculate[[#This Row],[IL]]</f>
        <v>-109.9799867519604</v>
      </c>
      <c r="I41" s="2">
        <f>Calculate[[#This Row],[Tx_PSD_ds]]+Calculate[[#This Row],[IL]]</f>
        <v>-109.9799867519604</v>
      </c>
      <c r="J41" s="2">
        <f>Masks[[#This Row],[channel_echo]]</f>
        <v>-14.738089252976284</v>
      </c>
      <c r="K41" s="2">
        <f>Masks[[#This Row],[channel_echo]]</f>
        <v>-14.738089252976284</v>
      </c>
      <c r="L41" s="2">
        <f>Calculate[[#This Row],[Echo_transfer_us]]+Calculate[[#This Row],[Tx_PSD_ds]]</f>
        <v>-112.33377947251897</v>
      </c>
      <c r="M41" s="2">
        <f>Calculate[[#This Row],[Echo_transfer_ds]]+Calculate[[#This Row],[Tx_PSD_us]]</f>
        <v>-112.33377947251897</v>
      </c>
      <c r="N41" s="2">
        <f t="shared" si="5"/>
        <v>-140</v>
      </c>
      <c r="O41" s="2">
        <f t="shared" si="6"/>
        <v>-140</v>
      </c>
      <c r="P41" s="2">
        <f t="shared" si="7"/>
        <v>6</v>
      </c>
      <c r="Q41" s="2">
        <f t="shared" si="8"/>
        <v>6</v>
      </c>
      <c r="R41" s="2">
        <f>10*LOG10((10^(Calculate[[#This Row],[Rx_echo_us]]/10))-(10^((Masks[[#This Row],[connector_echo]]+Calculate[[#This Row],[Tx_PSD_ds]])/10))*EC_conector_ratio_us)-Calculate[[#This Row],[EC_cancelation_us]]</f>
        <v>-145.2365039662084</v>
      </c>
      <c r="S41" s="2">
        <f>10*LOG10((10^(Calculate[[#This Row],[Rx_echo_ds]]/10))-(10^((Masks[[#This Row],[connector_echo]]+Calculate[[#This Row],[Tx_PSD_us]])/10))*EC_conector_ratio_ds)-Calculate[[#This Row],[EC_cancelation_ds]]</f>
        <v>-145.2365039662084</v>
      </c>
      <c r="T41" s="1">
        <f>(POWER(10,Calculate[[#This Row],[AFE_noise_us]]/10)+POWER(10,Calculate[[#This Row],[Echo_res_us]]/10))</f>
        <v>1.299467435406505E-14</v>
      </c>
      <c r="U41" s="1">
        <f>(POWER(10,Calculate[[#This Row],[AFE_noise_ds]]/10)+POWER(10,Calculate[[#This Row],[Echo_res_ds]]/10))</f>
        <v>1.299467435406505E-14</v>
      </c>
      <c r="V41" s="2">
        <f>10*LOG10(Calculate[[#This Row],[Linear_Noise_us]])</f>
        <v>-138.8623459942612</v>
      </c>
      <c r="W41" s="2">
        <f>10*LOG10(Calculate[[#This Row],[Linear_Noise_ds]])</f>
        <v>-138.8623459942612</v>
      </c>
      <c r="X41" s="2">
        <f>Calculate[[#This Row],[Rx_PSD_us]]-Calculate[[#This Row],[Noise_us]]</f>
        <v>28.882359242300808</v>
      </c>
      <c r="Y41" s="2">
        <f>Calculate[[#This Row],[Rx_PSD_ds]]-Calculate[[#This Row],[Noise_ds]]</f>
        <v>28.882359242300808</v>
      </c>
      <c r="Z41" s="2">
        <f>POWER(10,Calculate[[#This Row],[SNRdB_us]]/10)</f>
        <v>773.10044674032076</v>
      </c>
      <c r="AA41" s="2">
        <f>POWER(10,Calculate[[#This Row],[SNRdB_ds]]/10)</f>
        <v>773.10044674032076</v>
      </c>
      <c r="AB41" s="2">
        <f>-(0.002*Calculate[[#This Row],[Freq]]/1000000/2.5+0.68*(Calculate[[#This Row],[Freq]]/1000000/2.5)^0.45)</f>
        <v>-14.571324572336094</v>
      </c>
      <c r="AC41" s="2"/>
    </row>
    <row r="42" spans="1:29" x14ac:dyDescent="0.25">
      <c r="A42" s="33">
        <f t="shared" si="9"/>
        <v>1845000000</v>
      </c>
      <c r="B42" s="1">
        <f>Calculate[[#This Row],[Freq]]-A41</f>
        <v>45000000</v>
      </c>
      <c r="C42" s="1">
        <f>Channels!B42*cable_length</f>
        <v>-11.879176797855802</v>
      </c>
      <c r="D42" s="1">
        <f>Channels!C42*PCB_trace_length</f>
        <v>-0.68857373923782628</v>
      </c>
      <c r="E42" s="1">
        <f>Calculate[[#This Row],[IL_Cable]]+Calculate[[#This Row],[IL_PCB]]</f>
        <v>-12.567750537093628</v>
      </c>
      <c r="F42" s="2">
        <f>Masks!A42</f>
        <v>-97.607674114437401</v>
      </c>
      <c r="G42" s="2">
        <f>Masks!B42</f>
        <v>-97.607674114437401</v>
      </c>
      <c r="H42" s="2">
        <f>Calculate[[#This Row],[Tx_PSD_us]]+Calculate[[#This Row],[IL]]</f>
        <v>-110.17542465153103</v>
      </c>
      <c r="I42" s="2">
        <f>Calculate[[#This Row],[Tx_PSD_ds]]+Calculate[[#This Row],[IL]]</f>
        <v>-110.17542465153103</v>
      </c>
      <c r="J42" s="2">
        <f>Masks[[#This Row],[channel_echo]]</f>
        <v>-14.640285547487544</v>
      </c>
      <c r="K42" s="2">
        <f>Masks[[#This Row],[channel_echo]]</f>
        <v>-14.640285547487544</v>
      </c>
      <c r="L42" s="2">
        <f>Calculate[[#This Row],[Echo_transfer_us]]+Calculate[[#This Row],[Tx_PSD_ds]]</f>
        <v>-112.24795966192494</v>
      </c>
      <c r="M42" s="2">
        <f>Calculate[[#This Row],[Echo_transfer_ds]]+Calculate[[#This Row],[Tx_PSD_us]]</f>
        <v>-112.24795966192494</v>
      </c>
      <c r="N42" s="2">
        <f t="shared" si="5"/>
        <v>-140</v>
      </c>
      <c r="O42" s="2">
        <f t="shared" si="6"/>
        <v>-140</v>
      </c>
      <c r="P42" s="2">
        <f t="shared" si="7"/>
        <v>6</v>
      </c>
      <c r="Q42" s="2">
        <f t="shared" si="8"/>
        <v>6</v>
      </c>
      <c r="R42" s="2">
        <f>10*LOG10((10^(Calculate[[#This Row],[Rx_echo_us]]/10))-(10^((Masks[[#This Row],[connector_echo]]+Calculate[[#This Row],[Tx_PSD_ds]])/10))*EC_conector_ratio_us)-Calculate[[#This Row],[EC_cancelation_us]]</f>
        <v>-145.24848786108643</v>
      </c>
      <c r="S42" s="2">
        <f>10*LOG10((10^(Calculate[[#This Row],[Rx_echo_ds]]/10))-(10^((Masks[[#This Row],[connector_echo]]+Calculate[[#This Row],[Tx_PSD_us]])/10))*EC_conector_ratio_ds)-Calculate[[#This Row],[EC_cancelation_ds]]</f>
        <v>-145.24848786108643</v>
      </c>
      <c r="T42" s="1">
        <f>(POWER(10,Calculate[[#This Row],[AFE_noise_us]]/10)+POWER(10,Calculate[[#This Row],[Echo_res_us]]/10))</f>
        <v>1.2986422258934704E-14</v>
      </c>
      <c r="U42" s="1">
        <f>(POWER(10,Calculate[[#This Row],[AFE_noise_ds]]/10)+POWER(10,Calculate[[#This Row],[Echo_res_ds]]/10))</f>
        <v>1.2986422258934704E-14</v>
      </c>
      <c r="V42" s="2">
        <f>10*LOG10(Calculate[[#This Row],[Linear_Noise_us]])</f>
        <v>-138.86510479967509</v>
      </c>
      <c r="W42" s="2">
        <f>10*LOG10(Calculate[[#This Row],[Linear_Noise_ds]])</f>
        <v>-138.86510479967509</v>
      </c>
      <c r="X42" s="2">
        <f>Calculate[[#This Row],[Rx_PSD_us]]-Calculate[[#This Row],[Noise_us]]</f>
        <v>28.689680148144063</v>
      </c>
      <c r="Y42" s="2">
        <f>Calculate[[#This Row],[Rx_PSD_ds]]-Calculate[[#This Row],[Noise_ds]]</f>
        <v>28.689680148144063</v>
      </c>
      <c r="Z42" s="2">
        <f>POWER(10,Calculate[[#This Row],[SNRdB_us]]/10)</f>
        <v>739.55080616244288</v>
      </c>
      <c r="AA42" s="2">
        <f>POWER(10,Calculate[[#This Row],[SNRdB_ds]]/10)</f>
        <v>739.55080616244288</v>
      </c>
      <c r="AB42" s="2">
        <f>-(0.002*Calculate[[#This Row],[Freq]]/1000000/2.5+0.68*(Calculate[[#This Row],[Freq]]/1000000/2.5)^0.45)</f>
        <v>-14.754049260956997</v>
      </c>
      <c r="AC42" s="2"/>
    </row>
    <row r="43" spans="1:29" x14ac:dyDescent="0.25">
      <c r="A43" s="33">
        <f t="shared" si="9"/>
        <v>1890000000</v>
      </c>
      <c r="B43" s="1">
        <f>Calculate[[#This Row],[Freq]]-A42</f>
        <v>45000000</v>
      </c>
      <c r="C43" s="1">
        <f>Channels!B43*cable_length</f>
        <v>-12.046125552604051</v>
      </c>
      <c r="D43" s="1">
        <f>Channels!C43*PCB_trace_length</f>
        <v>-0.70356845251656919</v>
      </c>
      <c r="E43" s="1">
        <f>Calculate[[#This Row],[IL_Cable]]+Calculate[[#This Row],[IL_PCB]]</f>
        <v>-12.74969400512062</v>
      </c>
      <c r="F43" s="2">
        <f>Masks!A43</f>
        <v>-97.619960839914896</v>
      </c>
      <c r="G43" s="2">
        <f>Masks!B43</f>
        <v>-97.619960839914896</v>
      </c>
      <c r="H43" s="2">
        <f>Calculate[[#This Row],[Tx_PSD_us]]+Calculate[[#This Row],[IL]]</f>
        <v>-110.36965484503551</v>
      </c>
      <c r="I43" s="2">
        <f>Calculate[[#This Row],[Tx_PSD_ds]]+Calculate[[#This Row],[IL]]</f>
        <v>-110.36965484503551</v>
      </c>
      <c r="J43" s="2">
        <f>Masks[[#This Row],[channel_echo]]</f>
        <v>-14.544635972415946</v>
      </c>
      <c r="K43" s="2">
        <f>Masks[[#This Row],[channel_echo]]</f>
        <v>-14.544635972415946</v>
      </c>
      <c r="L43" s="2">
        <f>Calculate[[#This Row],[Echo_transfer_us]]+Calculate[[#This Row],[Tx_PSD_ds]]</f>
        <v>-112.16459681233084</v>
      </c>
      <c r="M43" s="2">
        <f>Calculate[[#This Row],[Echo_transfer_ds]]+Calculate[[#This Row],[Tx_PSD_us]]</f>
        <v>-112.16459681233084</v>
      </c>
      <c r="N43" s="2">
        <f t="shared" si="5"/>
        <v>-140</v>
      </c>
      <c r="O43" s="2">
        <f t="shared" si="6"/>
        <v>-140</v>
      </c>
      <c r="P43" s="2">
        <f t="shared" si="7"/>
        <v>6</v>
      </c>
      <c r="Q43" s="2">
        <f t="shared" si="8"/>
        <v>6</v>
      </c>
      <c r="R43" s="2">
        <f>10*LOG10((10^(Calculate[[#This Row],[Rx_echo_us]]/10))-(10^((Masks[[#This Row],[connector_echo]]+Calculate[[#This Row],[Tx_PSD_ds]])/10))*EC_conector_ratio_us)-Calculate[[#This Row],[EC_cancelation_us]]</f>
        <v>-145.26077458658386</v>
      </c>
      <c r="S43" s="2">
        <f>10*LOG10((10^(Calculate[[#This Row],[Rx_echo_ds]]/10))-(10^((Masks[[#This Row],[connector_echo]]+Calculate[[#This Row],[Tx_PSD_us]])/10))*EC_conector_ratio_ds)-Calculate[[#This Row],[EC_cancelation_ds]]</f>
        <v>-145.26077458658386</v>
      </c>
      <c r="T43" s="1">
        <f>(POWER(10,Calculate[[#This Row],[AFE_noise_us]]/10)+POWER(10,Calculate[[#This Row],[Echo_res_us]]/10))</f>
        <v>1.2977985243049618E-14</v>
      </c>
      <c r="U43" s="1">
        <f>(POWER(10,Calculate[[#This Row],[AFE_noise_ds]]/10)+POWER(10,Calculate[[#This Row],[Echo_res_ds]]/10))</f>
        <v>1.2977985243049618E-14</v>
      </c>
      <c r="V43" s="2">
        <f>10*LOG10(Calculate[[#This Row],[Linear_Noise_us]])</f>
        <v>-138.86792724002643</v>
      </c>
      <c r="W43" s="2">
        <f>10*LOG10(Calculate[[#This Row],[Linear_Noise_ds]])</f>
        <v>-138.86792724002643</v>
      </c>
      <c r="X43" s="2">
        <f>Calculate[[#This Row],[Rx_PSD_us]]-Calculate[[#This Row],[Noise_us]]</f>
        <v>28.49827239499092</v>
      </c>
      <c r="Y43" s="2">
        <f>Calculate[[#This Row],[Rx_PSD_ds]]-Calculate[[#This Row],[Noise_ds]]</f>
        <v>28.49827239499092</v>
      </c>
      <c r="Z43" s="2">
        <f>POWER(10,Calculate[[#This Row],[SNRdB_us]]/10)</f>
        <v>707.66422256277474</v>
      </c>
      <c r="AA43" s="2">
        <f>POWER(10,Calculate[[#This Row],[SNRdB_ds]]/10)</f>
        <v>707.66422256277474</v>
      </c>
      <c r="AB43" s="2">
        <f>-(0.002*Calculate[[#This Row],[Freq]]/1000000/2.5+0.68*(Calculate[[#This Row],[Freq]]/1000000/2.5)^0.45)</f>
        <v>-14.934818588888355</v>
      </c>
      <c r="AC43" s="2"/>
    </row>
    <row r="44" spans="1:29" x14ac:dyDescent="0.25">
      <c r="A44" s="33">
        <f t="shared" si="9"/>
        <v>1935000000</v>
      </c>
      <c r="B44" s="1">
        <f>Calculate[[#This Row],[Freq]]-A43</f>
        <v>45000000</v>
      </c>
      <c r="C44" s="1">
        <f>Channels!B44*cable_length</f>
        <v>-12.211638454954921</v>
      </c>
      <c r="D44" s="1">
        <f>Channels!C44*PCB_trace_length</f>
        <v>-0.71854211962703052</v>
      </c>
      <c r="E44" s="1">
        <f>Calculate[[#This Row],[IL_Cable]]+Calculate[[#This Row],[IL_PCB]]</f>
        <v>-12.930180574581952</v>
      </c>
      <c r="F44" s="2">
        <f>Masks!A44</f>
        <v>-97.632550915045258</v>
      </c>
      <c r="G44" s="2">
        <f>Masks!B44</f>
        <v>-97.632550915045258</v>
      </c>
      <c r="H44" s="2">
        <f>Calculate[[#This Row],[Tx_PSD_us]]+Calculate[[#This Row],[IL]]</f>
        <v>-110.56273148962721</v>
      </c>
      <c r="I44" s="2">
        <f>Calculate[[#This Row],[Tx_PSD_ds]]+Calculate[[#This Row],[IL]]</f>
        <v>-110.56273148962721</v>
      </c>
      <c r="J44" s="2">
        <f>Masks[[#This Row],[channel_echo]]</f>
        <v>-14.451047679464386</v>
      </c>
      <c r="K44" s="2">
        <f>Masks[[#This Row],[channel_echo]]</f>
        <v>-14.451047679464386</v>
      </c>
      <c r="L44" s="2">
        <f>Calculate[[#This Row],[Echo_transfer_us]]+Calculate[[#This Row],[Tx_PSD_ds]]</f>
        <v>-112.08359859450964</v>
      </c>
      <c r="M44" s="2">
        <f>Calculate[[#This Row],[Echo_transfer_ds]]+Calculate[[#This Row],[Tx_PSD_us]]</f>
        <v>-112.08359859450964</v>
      </c>
      <c r="N44" s="2">
        <f t="shared" si="5"/>
        <v>-140</v>
      </c>
      <c r="O44" s="2">
        <f t="shared" si="6"/>
        <v>-140</v>
      </c>
      <c r="P44" s="2">
        <f t="shared" si="7"/>
        <v>6</v>
      </c>
      <c r="Q44" s="2">
        <f t="shared" si="8"/>
        <v>6</v>
      </c>
      <c r="R44" s="2">
        <f>10*LOG10((10^(Calculate[[#This Row],[Rx_echo_us]]/10))-(10^((Masks[[#This Row],[connector_echo]]+Calculate[[#This Row],[Tx_PSD_ds]])/10))*EC_conector_ratio_us)-Calculate[[#This Row],[EC_cancelation_us]]</f>
        <v>-145.27336466170684</v>
      </c>
      <c r="S44" s="2">
        <f>10*LOG10((10^(Calculate[[#This Row],[Rx_echo_ds]]/10))-(10^((Masks[[#This Row],[connector_echo]]+Calculate[[#This Row],[Tx_PSD_us]])/10))*EC_conector_ratio_ds)-Calculate[[#This Row],[EC_cancelation_ds]]</f>
        <v>-145.27336466170684</v>
      </c>
      <c r="T44" s="1">
        <f>(POWER(10,Calculate[[#This Row],[AFE_noise_us]]/10)+POWER(10,Calculate[[#This Row],[Echo_res_us]]/10))</f>
        <v>1.2969364648890274E-14</v>
      </c>
      <c r="U44" s="1">
        <f>(POWER(10,Calculate[[#This Row],[AFE_noise_ds]]/10)+POWER(10,Calculate[[#This Row],[Echo_res_ds]]/10))</f>
        <v>1.2969364648890274E-14</v>
      </c>
      <c r="V44" s="2">
        <f>10*LOG10(Calculate[[#This Row],[Linear_Noise_us]])</f>
        <v>-138.87081298876569</v>
      </c>
      <c r="W44" s="2">
        <f>10*LOG10(Calculate[[#This Row],[Linear_Noise_ds]])</f>
        <v>-138.87081298876569</v>
      </c>
      <c r="X44" s="2">
        <f>Calculate[[#This Row],[Rx_PSD_us]]-Calculate[[#This Row],[Noise_us]]</f>
        <v>28.308081499138481</v>
      </c>
      <c r="Y44" s="2">
        <f>Calculate[[#This Row],[Rx_PSD_ds]]-Calculate[[#This Row],[Noise_ds]]</f>
        <v>28.308081499138481</v>
      </c>
      <c r="Z44" s="2">
        <f>POWER(10,Calculate[[#This Row],[SNRdB_us]]/10)</f>
        <v>677.34222480557116</v>
      </c>
      <c r="AA44" s="2">
        <f>POWER(10,Calculate[[#This Row],[SNRdB_ds]]/10)</f>
        <v>677.34222480557116</v>
      </c>
      <c r="AB44" s="2">
        <f>-(0.002*Calculate[[#This Row],[Freq]]/1000000/2.5+0.68*(Calculate[[#This Row],[Freq]]/1000000/2.5)^0.45)</f>
        <v>-15.113704261432359</v>
      </c>
      <c r="AC44" s="2"/>
    </row>
    <row r="45" spans="1:29" x14ac:dyDescent="0.25">
      <c r="A45" s="33">
        <f t="shared" si="9"/>
        <v>1980000000</v>
      </c>
      <c r="B45" s="1">
        <f>Calculate[[#This Row],[Freq]]-A44</f>
        <v>45000000</v>
      </c>
      <c r="C45" s="1">
        <f>Channels!B45*cable_length</f>
        <v>-12.375765311727999</v>
      </c>
      <c r="D45" s="1">
        <f>Channels!C45*PCB_trace_length</f>
        <v>-0.73349547061827913</v>
      </c>
      <c r="E45" s="1">
        <f>Calculate[[#This Row],[IL_Cable]]+Calculate[[#This Row],[IL_PCB]]</f>
        <v>-13.109260782346279</v>
      </c>
      <c r="F45" s="2">
        <f>Masks!A45</f>
        <v>-97.6454448728676</v>
      </c>
      <c r="G45" s="2">
        <f>Masks!B45</f>
        <v>-97.6454448728676</v>
      </c>
      <c r="H45" s="2">
        <f>Calculate[[#This Row],[Tx_PSD_us]]+Calculate[[#This Row],[IL]]</f>
        <v>-110.75470565521388</v>
      </c>
      <c r="I45" s="2">
        <f>Calculate[[#This Row],[Tx_PSD_ds]]+Calculate[[#This Row],[IL]]</f>
        <v>-110.75470565521388</v>
      </c>
      <c r="J45" s="2">
        <f>Masks[[#This Row],[channel_echo]]</f>
        <v>-14.359433696894811</v>
      </c>
      <c r="K45" s="2">
        <f>Masks[[#This Row],[channel_echo]]</f>
        <v>-14.359433696894811</v>
      </c>
      <c r="L45" s="2">
        <f>Calculate[[#This Row],[Echo_transfer_us]]+Calculate[[#This Row],[Tx_PSD_ds]]</f>
        <v>-112.00487856976241</v>
      </c>
      <c r="M45" s="2">
        <f>Calculate[[#This Row],[Echo_transfer_ds]]+Calculate[[#This Row],[Tx_PSD_us]]</f>
        <v>-112.00487856976241</v>
      </c>
      <c r="N45" s="2">
        <f t="shared" si="5"/>
        <v>-140</v>
      </c>
      <c r="O45" s="2">
        <f t="shared" si="6"/>
        <v>-140</v>
      </c>
      <c r="P45" s="2">
        <f t="shared" si="7"/>
        <v>6</v>
      </c>
      <c r="Q45" s="2">
        <f t="shared" si="8"/>
        <v>6</v>
      </c>
      <c r="R45" s="2">
        <f>10*LOG10((10^(Calculate[[#This Row],[Rx_echo_us]]/10))-(10^((Masks[[#This Row],[connector_echo]]+Calculate[[#This Row],[Tx_PSD_ds]])/10))*EC_conector_ratio_us)-Calculate[[#This Row],[EC_cancelation_us]]</f>
        <v>-145.28625861953807</v>
      </c>
      <c r="S45" s="2">
        <f>10*LOG10((10^(Calculate[[#This Row],[Rx_echo_ds]]/10))-(10^((Masks[[#This Row],[connector_echo]]+Calculate[[#This Row],[Tx_PSD_us]])/10))*EC_conector_ratio_ds)-Calculate[[#This Row],[EC_cancelation_ds]]</f>
        <v>-145.28625861953807</v>
      </c>
      <c r="T45" s="1">
        <f>(POWER(10,Calculate[[#This Row],[AFE_noise_us]]/10)+POWER(10,Calculate[[#This Row],[Echo_res_us]]/10))</f>
        <v>1.2960561846966471E-14</v>
      </c>
      <c r="U45" s="1">
        <f>(POWER(10,Calculate[[#This Row],[AFE_noise_ds]]/10)+POWER(10,Calculate[[#This Row],[Echo_res_ds]]/10))</f>
        <v>1.2960561846966471E-14</v>
      </c>
      <c r="V45" s="2">
        <f>10*LOG10(Calculate[[#This Row],[Linear_Noise_us]])</f>
        <v>-138.87376171170038</v>
      </c>
      <c r="W45" s="2">
        <f>10*LOG10(Calculate[[#This Row],[Linear_Noise_ds]])</f>
        <v>-138.87376171170038</v>
      </c>
      <c r="X45" s="2">
        <f>Calculate[[#This Row],[Rx_PSD_us]]-Calculate[[#This Row],[Noise_us]]</f>
        <v>28.1190560564865</v>
      </c>
      <c r="Y45" s="2">
        <f>Calculate[[#This Row],[Rx_PSD_ds]]-Calculate[[#This Row],[Noise_ds]]</f>
        <v>28.1190560564865</v>
      </c>
      <c r="Z45" s="2">
        <f>POWER(10,Calculate[[#This Row],[SNRdB_us]]/10)</f>
        <v>648.4934675085367</v>
      </c>
      <c r="AA45" s="2">
        <f>POWER(10,Calculate[[#This Row],[SNRdB_ds]]/10)</f>
        <v>648.4934675085367</v>
      </c>
      <c r="AB45" s="2">
        <f>-(0.002*Calculate[[#This Row],[Freq]]/1000000/2.5+0.68*(Calculate[[#This Row],[Freq]]/1000000/2.5)^0.45)</f>
        <v>-15.290773757624041</v>
      </c>
      <c r="AC45" s="2"/>
    </row>
    <row r="46" spans="1:29" x14ac:dyDescent="0.25">
      <c r="A46" s="33">
        <f t="shared" si="9"/>
        <v>2025000000</v>
      </c>
      <c r="B46" s="1">
        <f>Calculate[[#This Row],[Freq]]-A45</f>
        <v>45000000</v>
      </c>
      <c r="C46" s="1">
        <f>Channels!B46*cable_length</f>
        <v>-12.538553115150709</v>
      </c>
      <c r="D46" s="1">
        <f>Channels!C46*PCB_trace_length</f>
        <v>-0.74842919428418331</v>
      </c>
      <c r="E46" s="1">
        <f>Calculate[[#This Row],[IL_Cable]]+Calculate[[#This Row],[IL_PCB]]</f>
        <v>-13.286982309434892</v>
      </c>
      <c r="F46" s="2">
        <f>Masks!A46</f>
        <v>-97.658643260500114</v>
      </c>
      <c r="G46" s="2">
        <f>Masks!B46</f>
        <v>-97.658643260500114</v>
      </c>
      <c r="H46" s="2">
        <f>Calculate[[#This Row],[Tx_PSD_us]]+Calculate[[#This Row],[IL]]</f>
        <v>-110.945625569935</v>
      </c>
      <c r="I46" s="2">
        <f>Calculate[[#This Row],[Tx_PSD_ds]]+Calculate[[#This Row],[IL]]</f>
        <v>-110.945625569935</v>
      </c>
      <c r="J46" s="2">
        <f>Masks[[#This Row],[channel_echo]]</f>
        <v>-14.269712443838099</v>
      </c>
      <c r="K46" s="2">
        <f>Masks[[#This Row],[channel_echo]]</f>
        <v>-14.269712443838099</v>
      </c>
      <c r="L46" s="2">
        <f>Calculate[[#This Row],[Echo_transfer_us]]+Calculate[[#This Row],[Tx_PSD_ds]]</f>
        <v>-111.92835570433822</v>
      </c>
      <c r="M46" s="2">
        <f>Calculate[[#This Row],[Echo_transfer_ds]]+Calculate[[#This Row],[Tx_PSD_us]]</f>
        <v>-111.92835570433822</v>
      </c>
      <c r="N46" s="2">
        <f t="shared" si="5"/>
        <v>-140</v>
      </c>
      <c r="O46" s="2">
        <f t="shared" si="6"/>
        <v>-140</v>
      </c>
      <c r="P46" s="2">
        <f t="shared" si="7"/>
        <v>6</v>
      </c>
      <c r="Q46" s="2">
        <f t="shared" si="8"/>
        <v>6</v>
      </c>
      <c r="R46" s="2">
        <f>10*LOG10((10^(Calculate[[#This Row],[Rx_echo_us]]/10))-(10^((Masks[[#This Row],[connector_echo]]+Calculate[[#This Row],[Tx_PSD_ds]])/10))*EC_conector_ratio_us)-Calculate[[#This Row],[EC_cancelation_us]]</f>
        <v>-145.29945700717121</v>
      </c>
      <c r="S46" s="2">
        <f>10*LOG10((10^(Calculate[[#This Row],[Rx_echo_ds]]/10))-(10^((Masks[[#This Row],[connector_echo]]+Calculate[[#This Row],[Tx_PSD_us]])/10))*EC_conector_ratio_ds)-Calculate[[#This Row],[EC_cancelation_ds]]</f>
        <v>-145.29945700717121</v>
      </c>
      <c r="T46" s="1">
        <f>(POWER(10,Calculate[[#This Row],[AFE_noise_us]]/10)+POWER(10,Calculate[[#This Row],[Echo_res_us]]/10))</f>
        <v>1.2951578235644302E-14</v>
      </c>
      <c r="U46" s="1">
        <f>(POWER(10,Calculate[[#This Row],[AFE_noise_ds]]/10)+POWER(10,Calculate[[#This Row],[Echo_res_ds]]/10))</f>
        <v>1.2951578235644302E-14</v>
      </c>
      <c r="V46" s="2">
        <f>10*LOG10(Calculate[[#This Row],[Linear_Noise_us]])</f>
        <v>-138.87677306697142</v>
      </c>
      <c r="W46" s="2">
        <f>10*LOG10(Calculate[[#This Row],[Linear_Noise_ds]])</f>
        <v>-138.87677306697142</v>
      </c>
      <c r="X46" s="2">
        <f>Calculate[[#This Row],[Rx_PSD_us]]-Calculate[[#This Row],[Noise_us]]</f>
        <v>27.93114749703642</v>
      </c>
      <c r="Y46" s="2">
        <f>Calculate[[#This Row],[Rx_PSD_ds]]-Calculate[[#This Row],[Noise_ds]]</f>
        <v>27.93114749703642</v>
      </c>
      <c r="Z46" s="2">
        <f>POWER(10,Calculate[[#This Row],[SNRdB_us]]/10)</f>
        <v>621.03310251466451</v>
      </c>
      <c r="AA46" s="2">
        <f>POWER(10,Calculate[[#This Row],[SNRdB_ds]]/10)</f>
        <v>621.03310251466451</v>
      </c>
      <c r="AB46" s="2">
        <f>-(0.002*Calculate[[#This Row],[Freq]]/1000000/2.5+0.68*(Calculate[[#This Row],[Freq]]/1000000/2.5)^0.45)</f>
        <v>-15.466090669195415</v>
      </c>
      <c r="AC46" s="2"/>
    </row>
    <row r="47" spans="1:29" x14ac:dyDescent="0.25">
      <c r="A47" s="33">
        <f t="shared" si="9"/>
        <v>2070000000</v>
      </c>
      <c r="B47" s="1">
        <f>Calculate[[#This Row],[Freq]]-A46</f>
        <v>45000000</v>
      </c>
      <c r="C47" s="1">
        <f>Channels!B47*cable_length</f>
        <v>-12.700046260623886</v>
      </c>
      <c r="D47" s="1">
        <f>Channels!C47*PCB_trace_length</f>
        <v>-0.76334394135533212</v>
      </c>
      <c r="E47" s="1">
        <f>Calculate[[#This Row],[IL_Cable]]+Calculate[[#This Row],[IL_PCB]]</f>
        <v>-13.463390201979218</v>
      </c>
      <c r="F47" s="2">
        <f>Masks!A47</f>
        <v>-97.672146639253342</v>
      </c>
      <c r="G47" s="2">
        <f>Masks!B47</f>
        <v>-97.672146639253342</v>
      </c>
      <c r="H47" s="2">
        <f>Calculate[[#This Row],[Tx_PSD_us]]+Calculate[[#This Row],[IL]]</f>
        <v>-111.13553684123256</v>
      </c>
      <c r="I47" s="2">
        <f>Calculate[[#This Row],[Tx_PSD_ds]]+Calculate[[#This Row],[IL]]</f>
        <v>-111.13553684123256</v>
      </c>
      <c r="J47" s="2">
        <f>Masks[[#This Row],[channel_echo]]</f>
        <v>-14.181807293766887</v>
      </c>
      <c r="K47" s="2">
        <f>Masks[[#This Row],[channel_echo]]</f>
        <v>-14.181807293766887</v>
      </c>
      <c r="L47" s="2">
        <f>Calculate[[#This Row],[Echo_transfer_us]]+Calculate[[#This Row],[Tx_PSD_ds]]</f>
        <v>-111.85395393302022</v>
      </c>
      <c r="M47" s="2">
        <f>Calculate[[#This Row],[Echo_transfer_ds]]+Calculate[[#This Row],[Tx_PSD_us]]</f>
        <v>-111.85395393302022</v>
      </c>
      <c r="N47" s="2">
        <f t="shared" si="5"/>
        <v>-140</v>
      </c>
      <c r="O47" s="2">
        <f t="shared" si="6"/>
        <v>-140</v>
      </c>
      <c r="P47" s="2">
        <f t="shared" si="7"/>
        <v>6</v>
      </c>
      <c r="Q47" s="2">
        <f t="shared" si="8"/>
        <v>6</v>
      </c>
      <c r="R47" s="2">
        <f>10*LOG10((10^(Calculate[[#This Row],[Rx_echo_us]]/10))-(10^((Masks[[#This Row],[connector_echo]]+Calculate[[#This Row],[Tx_PSD_ds]])/10))*EC_conector_ratio_us)-Calculate[[#This Row],[EC_cancelation_us]]</f>
        <v>-145.31296038591654</v>
      </c>
      <c r="S47" s="2">
        <f>10*LOG10((10^(Calculate[[#This Row],[Rx_echo_ds]]/10))-(10^((Masks[[#This Row],[connector_echo]]+Calculate[[#This Row],[Tx_PSD_us]])/10))*EC_conector_ratio_ds)-Calculate[[#This Row],[EC_cancelation_ds]]</f>
        <v>-145.31296038591654</v>
      </c>
      <c r="T47" s="1">
        <f>(POWER(10,Calculate[[#This Row],[AFE_noise_us]]/10)+POWER(10,Calculate[[#This Row],[Echo_res_us]]/10))</f>
        <v>1.2942415240783435E-14</v>
      </c>
      <c r="U47" s="1">
        <f>(POWER(10,Calculate[[#This Row],[AFE_noise_ds]]/10)+POWER(10,Calculate[[#This Row],[Echo_res_ds]]/10))</f>
        <v>1.2942415240783435E-14</v>
      </c>
      <c r="V47" s="2">
        <f>10*LOG10(Calculate[[#This Row],[Linear_Noise_us]])</f>
        <v>-138.87984670509181</v>
      </c>
      <c r="W47" s="2">
        <f>10*LOG10(Calculate[[#This Row],[Linear_Noise_ds]])</f>
        <v>-138.87984670509181</v>
      </c>
      <c r="X47" s="2">
        <f>Calculate[[#This Row],[Rx_PSD_us]]-Calculate[[#This Row],[Noise_us]]</f>
        <v>27.744309863859243</v>
      </c>
      <c r="Y47" s="2">
        <f>Calculate[[#This Row],[Rx_PSD_ds]]-Calculate[[#This Row],[Noise_ds]]</f>
        <v>27.744309863859243</v>
      </c>
      <c r="Z47" s="2">
        <f>POWER(10,Calculate[[#This Row],[SNRdB_us]]/10)</f>
        <v>594.8822166816293</v>
      </c>
      <c r="AA47" s="2">
        <f>POWER(10,Calculate[[#This Row],[SNRdB_ds]]/10)</f>
        <v>594.8822166816293</v>
      </c>
      <c r="AB47" s="2">
        <f>-(0.002*Calculate[[#This Row],[Freq]]/1000000/2.5+0.68*(Calculate[[#This Row],[Freq]]/1000000/2.5)^0.45)</f>
        <v>-15.639715005463005</v>
      </c>
      <c r="AC47" s="2"/>
    </row>
    <row r="48" spans="1:29" x14ac:dyDescent="0.25">
      <c r="A48" s="33">
        <f t="shared" si="9"/>
        <v>2115000000</v>
      </c>
      <c r="B48" s="1">
        <f>Calculate[[#This Row],[Freq]]-A47</f>
        <v>45000000</v>
      </c>
      <c r="C48" s="1">
        <f>Channels!B48*cable_length</f>
        <v>-12.860286743292132</v>
      </c>
      <c r="D48" s="1">
        <f>Channels!C48*PCB_trace_length</f>
        <v>-0.77824032738028914</v>
      </c>
      <c r="E48" s="1">
        <f>Calculate[[#This Row],[IL_Cable]]+Calculate[[#This Row],[IL_PCB]]</f>
        <v>-13.638527070672421</v>
      </c>
      <c r="F48" s="2">
        <f>Masks!A48</f>
        <v>-97.68595558474685</v>
      </c>
      <c r="G48" s="2">
        <f>Masks!B48</f>
        <v>-97.68595558474685</v>
      </c>
      <c r="H48" s="2">
        <f>Calculate[[#This Row],[Tx_PSD_us]]+Calculate[[#This Row],[IL]]</f>
        <v>-111.32448265541927</v>
      </c>
      <c r="I48" s="2">
        <f>Calculate[[#This Row],[Tx_PSD_ds]]+Calculate[[#This Row],[IL]]</f>
        <v>-111.32448265541927</v>
      </c>
      <c r="J48" s="2">
        <f>Masks[[#This Row],[channel_echo]]</f>
        <v>-14.095646181277996</v>
      </c>
      <c r="K48" s="2">
        <f>Masks[[#This Row],[channel_echo]]</f>
        <v>-14.095646181277996</v>
      </c>
      <c r="L48" s="2">
        <f>Calculate[[#This Row],[Echo_transfer_us]]+Calculate[[#This Row],[Tx_PSD_ds]]</f>
        <v>-111.78160176602485</v>
      </c>
      <c r="M48" s="2">
        <f>Calculate[[#This Row],[Echo_transfer_ds]]+Calculate[[#This Row],[Tx_PSD_us]]</f>
        <v>-111.78160176602485</v>
      </c>
      <c r="N48" s="2">
        <f t="shared" si="5"/>
        <v>-140</v>
      </c>
      <c r="O48" s="2">
        <f t="shared" si="6"/>
        <v>-140</v>
      </c>
      <c r="P48" s="2">
        <f t="shared" si="7"/>
        <v>6</v>
      </c>
      <c r="Q48" s="2">
        <f t="shared" si="8"/>
        <v>6</v>
      </c>
      <c r="R48" s="2">
        <f>10*LOG10((10^(Calculate[[#This Row],[Rx_echo_us]]/10))-(10^((Masks[[#This Row],[connector_echo]]+Calculate[[#This Row],[Tx_PSD_ds]])/10))*EC_conector_ratio_us)-Calculate[[#This Row],[EC_cancelation_us]]</f>
        <v>-145.32676933140201</v>
      </c>
      <c r="S48" s="2">
        <f>10*LOG10((10^(Calculate[[#This Row],[Rx_echo_ds]]/10))-(10^((Masks[[#This Row],[connector_echo]]+Calculate[[#This Row],[Tx_PSD_us]])/10))*EC_conector_ratio_ds)-Calculate[[#This Row],[EC_cancelation_ds]]</f>
        <v>-145.32676933140201</v>
      </c>
      <c r="T48" s="1">
        <f>(POWER(10,Calculate[[#This Row],[AFE_noise_us]]/10)+POWER(10,Calculate[[#This Row],[Echo_res_us]]/10))</f>
        <v>1.293307431544276E-14</v>
      </c>
      <c r="U48" s="1">
        <f>(POWER(10,Calculate[[#This Row],[AFE_noise_ds]]/10)+POWER(10,Calculate[[#This Row],[Echo_res_ds]]/10))</f>
        <v>1.293307431544276E-14</v>
      </c>
      <c r="V48" s="2">
        <f>10*LOG10(Calculate[[#This Row],[Linear_Noise_us]])</f>
        <v>-138.88298226896103</v>
      </c>
      <c r="W48" s="2">
        <f>10*LOG10(Calculate[[#This Row],[Linear_Noise_ds]])</f>
        <v>-138.88298226896103</v>
      </c>
      <c r="X48" s="2">
        <f>Calculate[[#This Row],[Rx_PSD_us]]-Calculate[[#This Row],[Noise_us]]</f>
        <v>27.558499613541755</v>
      </c>
      <c r="Y48" s="2">
        <f>Calculate[[#This Row],[Rx_PSD_ds]]-Calculate[[#This Row],[Noise_ds]]</f>
        <v>27.558499613541755</v>
      </c>
      <c r="Z48" s="2">
        <f>POWER(10,Calculate[[#This Row],[SNRdB_us]]/10)</f>
        <v>569.96732780325021</v>
      </c>
      <c r="AA48" s="2">
        <f>POWER(10,Calculate[[#This Row],[SNRdB_ds]]/10)</f>
        <v>569.96732780325021</v>
      </c>
      <c r="AB48" s="2">
        <f>-(0.002*Calculate[[#This Row],[Freq]]/1000000/2.5+0.68*(Calculate[[#This Row],[Freq]]/1000000/2.5)^0.45)</f>
        <v>-15.811703468227313</v>
      </c>
      <c r="AC48" s="2"/>
    </row>
    <row r="49" spans="1:32" x14ac:dyDescent="0.25">
      <c r="A49" s="33">
        <f t="shared" si="9"/>
        <v>2160000000</v>
      </c>
      <c r="B49" s="1">
        <f>Calculate[[#This Row],[Freq]]-A48</f>
        <v>45000000</v>
      </c>
      <c r="C49" s="1">
        <f>Channels!B49*cable_length</f>
        <v>-13.019314335887149</v>
      </c>
      <c r="D49" s="1">
        <f>Channels!C49*PCB_trace_length</f>
        <v>-0.79311893533235012</v>
      </c>
      <c r="E49" s="1">
        <f>Calculate[[#This Row],[IL_Cable]]+Calculate[[#This Row],[IL_PCB]]</f>
        <v>-13.812433271219499</v>
      </c>
      <c r="F49" s="2">
        <f>Masks!A49</f>
        <v>-97.700070687029196</v>
      </c>
      <c r="G49" s="2">
        <f>Masks!B49</f>
        <v>-97.700070687029196</v>
      </c>
      <c r="H49" s="2">
        <f>Calculate[[#This Row],[Tx_PSD_us]]+Calculate[[#This Row],[IL]]</f>
        <v>-111.5125039582487</v>
      </c>
      <c r="I49" s="2">
        <f>Calculate[[#This Row],[Tx_PSD_ds]]+Calculate[[#This Row],[IL]]</f>
        <v>-111.5125039582487</v>
      </c>
      <c r="J49" s="2">
        <f>Masks[[#This Row],[channel_echo]]</f>
        <v>-14.011161247128303</v>
      </c>
      <c r="K49" s="2">
        <f>Masks[[#This Row],[channel_echo]]</f>
        <v>-14.011161247128303</v>
      </c>
      <c r="L49" s="2">
        <f>Calculate[[#This Row],[Echo_transfer_us]]+Calculate[[#This Row],[Tx_PSD_ds]]</f>
        <v>-111.7112319341575</v>
      </c>
      <c r="M49" s="2">
        <f>Calculate[[#This Row],[Echo_transfer_ds]]+Calculate[[#This Row],[Tx_PSD_us]]</f>
        <v>-111.7112319341575</v>
      </c>
      <c r="N49" s="2">
        <f t="shared" si="5"/>
        <v>-140</v>
      </c>
      <c r="O49" s="2">
        <f t="shared" si="6"/>
        <v>-140</v>
      </c>
      <c r="P49" s="2">
        <f t="shared" si="7"/>
        <v>6</v>
      </c>
      <c r="Q49" s="2">
        <f t="shared" si="8"/>
        <v>6</v>
      </c>
      <c r="R49" s="2">
        <f>10*LOG10((10^(Calculate[[#This Row],[Rx_echo_us]]/10))-(10^((Masks[[#This Row],[connector_echo]]+Calculate[[#This Row],[Tx_PSD_ds]])/10))*EC_conector_ratio_us)-Calculate[[#This Row],[EC_cancelation_us]]</f>
        <v>-145.34088443368231</v>
      </c>
      <c r="S49" s="2">
        <f>10*LOG10((10^(Calculate[[#This Row],[Rx_echo_ds]]/10))-(10^((Masks[[#This Row],[connector_echo]]+Calculate[[#This Row],[Tx_PSD_us]])/10))*EC_conector_ratio_ds)-Calculate[[#This Row],[EC_cancelation_ds]]</f>
        <v>-145.34088443368231</v>
      </c>
      <c r="T49" s="1">
        <f>(POWER(10,Calculate[[#This Row],[AFE_noise_us]]/10)+POWER(10,Calculate[[#This Row],[Echo_res_us]]/10))</f>
        <v>1.2923556939577094E-14</v>
      </c>
      <c r="U49" s="1">
        <f>(POWER(10,Calculate[[#This Row],[AFE_noise_ds]]/10)+POWER(10,Calculate[[#This Row],[Echo_res_ds]]/10))</f>
        <v>1.2923556939577094E-14</v>
      </c>
      <c r="V49" s="2">
        <f>10*LOG10(Calculate[[#This Row],[Linear_Noise_us]])</f>
        <v>-138.88617939388155</v>
      </c>
      <c r="W49" s="2">
        <f>10*LOG10(Calculate[[#This Row],[Linear_Noise_ds]])</f>
        <v>-138.88617939388155</v>
      </c>
      <c r="X49" s="2">
        <f>Calculate[[#This Row],[Rx_PSD_us]]-Calculate[[#This Row],[Noise_us]]</f>
        <v>27.373675435632848</v>
      </c>
      <c r="Y49" s="2">
        <f>Calculate[[#This Row],[Rx_PSD_ds]]-Calculate[[#This Row],[Noise_ds]]</f>
        <v>27.373675435632848</v>
      </c>
      <c r="Z49" s="2">
        <f>POWER(10,Calculate[[#This Row],[SNRdB_us]]/10)</f>
        <v>546.21993164678179</v>
      </c>
      <c r="AA49" s="2">
        <f>POWER(10,Calculate[[#This Row],[SNRdB_ds]]/10)</f>
        <v>546.21993164678179</v>
      </c>
      <c r="AB49" s="2">
        <f>-(0.002*Calculate[[#This Row],[Freq]]/1000000/2.5+0.68*(Calculate[[#This Row],[Freq]]/1000000/2.5)^0.45)</f>
        <v>-15.982109700206207</v>
      </c>
      <c r="AC49" s="2"/>
    </row>
    <row r="50" spans="1:32" x14ac:dyDescent="0.25">
      <c r="A50" s="33">
        <f t="shared" si="9"/>
        <v>2205000000</v>
      </c>
      <c r="B50" s="1">
        <f>Calculate[[#This Row],[Freq]]-A49</f>
        <v>45000000</v>
      </c>
      <c r="C50" s="1">
        <f>Channels!B50*cable_length</f>
        <v>-13.177166749979506</v>
      </c>
      <c r="D50" s="1">
        <f>Channels!C50*PCB_trace_length</f>
        <v>-0.8079803179731091</v>
      </c>
      <c r="E50" s="1">
        <f>Calculate[[#This Row],[IL_Cable]]+Calculate[[#This Row],[IL_PCB]]</f>
        <v>-13.985147067952616</v>
      </c>
      <c r="F50" s="2">
        <f>Masks!A50</f>
        <v>-97.714492550701436</v>
      </c>
      <c r="G50" s="2">
        <f>Masks!B50</f>
        <v>-97.714492550701436</v>
      </c>
      <c r="H50" s="2">
        <f>Calculate[[#This Row],[Tx_PSD_us]]+Calculate[[#This Row],[IL]]</f>
        <v>-111.69963961865405</v>
      </c>
      <c r="I50" s="2">
        <f>Calculate[[#This Row],[Tx_PSD_ds]]+Calculate[[#This Row],[IL]]</f>
        <v>-111.69963961865405</v>
      </c>
      <c r="J50" s="2">
        <f>Masks[[#This Row],[channel_echo]]</f>
        <v>-13.928288517143477</v>
      </c>
      <c r="K50" s="2">
        <f>Masks[[#This Row],[channel_echo]]</f>
        <v>-13.928288517143477</v>
      </c>
      <c r="L50" s="2">
        <f>Calculate[[#This Row],[Echo_transfer_us]]+Calculate[[#This Row],[Tx_PSD_ds]]</f>
        <v>-111.64278106784491</v>
      </c>
      <c r="M50" s="2">
        <f>Calculate[[#This Row],[Echo_transfer_ds]]+Calculate[[#This Row],[Tx_PSD_us]]</f>
        <v>-111.64278106784491</v>
      </c>
      <c r="N50" s="2">
        <f t="shared" si="5"/>
        <v>-140</v>
      </c>
      <c r="O50" s="2">
        <f t="shared" si="6"/>
        <v>-140</v>
      </c>
      <c r="P50" s="2">
        <f t="shared" si="7"/>
        <v>6</v>
      </c>
      <c r="Q50" s="2">
        <f t="shared" si="8"/>
        <v>6</v>
      </c>
      <c r="R50" s="2">
        <f>10*LOG10((10^(Calculate[[#This Row],[Rx_echo_us]]/10))-(10^((Masks[[#This Row],[connector_echo]]+Calculate[[#This Row],[Tx_PSD_ds]])/10))*EC_conector_ratio_us)-Calculate[[#This Row],[EC_cancelation_us]]</f>
        <v>-145.35530629735985</v>
      </c>
      <c r="S50" s="2">
        <f>10*LOG10((10^(Calculate[[#This Row],[Rx_echo_ds]]/10))-(10^((Masks[[#This Row],[connector_echo]]+Calculate[[#This Row],[Tx_PSD_us]])/10))*EC_conector_ratio_ds)-Calculate[[#This Row],[EC_cancelation_ds]]</f>
        <v>-145.35530629735985</v>
      </c>
      <c r="T50" s="1">
        <f>(POWER(10,Calculate[[#This Row],[AFE_noise_us]]/10)+POWER(10,Calculate[[#This Row],[Echo_res_us]]/10))</f>
        <v>1.2913864619722575E-14</v>
      </c>
      <c r="U50" s="1">
        <f>(POWER(10,Calculate[[#This Row],[AFE_noise_ds]]/10)+POWER(10,Calculate[[#This Row],[Echo_res_ds]]/10))</f>
        <v>1.2913864619722575E-14</v>
      </c>
      <c r="V50" s="2">
        <f>10*LOG10(Calculate[[#This Row],[Linear_Noise_us]])</f>
        <v>-138.8894377075778</v>
      </c>
      <c r="W50" s="2">
        <f>10*LOG10(Calculate[[#This Row],[Linear_Noise_ds]])</f>
        <v>-138.8894377075778</v>
      </c>
      <c r="X50" s="2">
        <f>Calculate[[#This Row],[Rx_PSD_us]]-Calculate[[#This Row],[Noise_us]]</f>
        <v>27.189798088923752</v>
      </c>
      <c r="Y50" s="2">
        <f>Calculate[[#This Row],[Rx_PSD_ds]]-Calculate[[#This Row],[Noise_ds]]</f>
        <v>27.189798088923752</v>
      </c>
      <c r="Z50" s="2">
        <f>POWER(10,Calculate[[#This Row],[SNRdB_us]]/10)</f>
        <v>523.57609405446215</v>
      </c>
      <c r="AA50" s="2">
        <f>POWER(10,Calculate[[#This Row],[SNRdB_ds]]/10)</f>
        <v>523.57609405446215</v>
      </c>
      <c r="AB50" s="2">
        <f>-(0.002*Calculate[[#This Row],[Freq]]/1000000/2.5+0.68*(Calculate[[#This Row],[Freq]]/1000000/2.5)^0.45)</f>
        <v>-16.150984510045898</v>
      </c>
      <c r="AC50" s="2"/>
      <c r="AE50" t="s">
        <v>129</v>
      </c>
      <c r="AF50" t="s">
        <v>130</v>
      </c>
    </row>
    <row r="51" spans="1:32" x14ac:dyDescent="0.25">
      <c r="A51" s="33">
        <f t="shared" si="9"/>
        <v>2250000000</v>
      </c>
      <c r="B51" s="1">
        <f>Calculate[[#This Row],[Freq]]-A50</f>
        <v>45000000</v>
      </c>
      <c r="C51" s="1">
        <f>Channels!B51*cable_length</f>
        <v>-13.333879782492327</v>
      </c>
      <c r="D51" s="1">
        <f>Channels!C51*PCB_trace_length</f>
        <v>-0.82282500000000014</v>
      </c>
      <c r="E51" s="1">
        <f>Calculate[[#This Row],[IL_Cable]]+Calculate[[#This Row],[IL_PCB]]</f>
        <v>-14.156704782492326</v>
      </c>
      <c r="F51" s="2">
        <f>Masks!A51</f>
        <v>-97.729221795044026</v>
      </c>
      <c r="G51" s="2">
        <f>Masks!B51</f>
        <v>-97.729221795044026</v>
      </c>
      <c r="H51" s="2">
        <f>Calculate[[#This Row],[Tx_PSD_us]]+Calculate[[#This Row],[IL]]</f>
        <v>-111.88592657753635</v>
      </c>
      <c r="I51" s="2">
        <f>Calculate[[#This Row],[Tx_PSD_ds]]+Calculate[[#This Row],[IL]]</f>
        <v>-111.88592657753635</v>
      </c>
      <c r="J51" s="2">
        <f>Masks[[#This Row],[channel_echo]]</f>
        <v>-13.846967611193268</v>
      </c>
      <c r="K51" s="2">
        <f>Masks[[#This Row],[channel_echo]]</f>
        <v>-13.846967611193268</v>
      </c>
      <c r="L51" s="2">
        <f>Calculate[[#This Row],[Echo_transfer_us]]+Calculate[[#This Row],[Tx_PSD_ds]]</f>
        <v>-111.57618940623729</v>
      </c>
      <c r="M51" s="2">
        <f>Calculate[[#This Row],[Echo_transfer_ds]]+Calculate[[#This Row],[Tx_PSD_us]]</f>
        <v>-111.57618940623729</v>
      </c>
      <c r="N51" s="2">
        <f t="shared" si="5"/>
        <v>-140</v>
      </c>
      <c r="O51" s="2">
        <f t="shared" si="6"/>
        <v>-140</v>
      </c>
      <c r="P51" s="2">
        <f t="shared" si="7"/>
        <v>6</v>
      </c>
      <c r="Q51" s="2">
        <f t="shared" si="8"/>
        <v>6</v>
      </c>
      <c r="R51" s="2">
        <f>10*LOG10((10^(Calculate[[#This Row],[Rx_echo_us]]/10))-(10^((Masks[[#This Row],[connector_echo]]+Calculate[[#This Row],[Tx_PSD_ds]])/10))*EC_conector_ratio_us)-Calculate[[#This Row],[EC_cancelation_us]]</f>
        <v>-145.37003554171298</v>
      </c>
      <c r="S51" s="2">
        <f>10*LOG10((10^(Calculate[[#This Row],[Rx_echo_ds]]/10))-(10^((Masks[[#This Row],[connector_echo]]+Calculate[[#This Row],[Tx_PSD_us]])/10))*EC_conector_ratio_ds)-Calculate[[#This Row],[EC_cancelation_ds]]</f>
        <v>-145.37003554171298</v>
      </c>
      <c r="T51" s="1">
        <f>(POWER(10,Calculate[[#This Row],[AFE_noise_us]]/10)+POWER(10,Calculate[[#This Row],[Echo_res_us]]/10))</f>
        <v>1.290399888867381E-14</v>
      </c>
      <c r="U51" s="1">
        <f>(POWER(10,Calculate[[#This Row],[AFE_noise_ds]]/10)+POWER(10,Calculate[[#This Row],[Echo_res_ds]]/10))</f>
        <v>1.290399888867381E-14</v>
      </c>
      <c r="V51" s="2">
        <f>10*LOG10(Calculate[[#This Row],[Linear_Noise_us]])</f>
        <v>-138.89275683021674</v>
      </c>
      <c r="W51" s="2">
        <f>10*LOG10(Calculate[[#This Row],[Linear_Noise_ds]])</f>
        <v>-138.89275683021674</v>
      </c>
      <c r="X51" s="2">
        <f>Calculate[[#This Row],[Rx_PSD_us]]-Calculate[[#This Row],[Noise_us]]</f>
        <v>27.006830252680388</v>
      </c>
      <c r="Y51" s="2">
        <f>Calculate[[#This Row],[Rx_PSD_ds]]-Calculate[[#This Row],[Noise_ds]]</f>
        <v>27.006830252680388</v>
      </c>
      <c r="Z51" s="2">
        <f>POWER(10,Calculate[[#This Row],[SNRdB_us]]/10)</f>
        <v>501.97608287641248</v>
      </c>
      <c r="AA51" s="2">
        <f>POWER(10,Calculate[[#This Row],[SNRdB_ds]]/10)</f>
        <v>501.97608287641248</v>
      </c>
      <c r="AB51" s="2">
        <f>-(0.002*Calculate[[#This Row],[Freq]]/1000000/2.5+0.68*(Calculate[[#This Row],[Freq]]/1000000/2.5)^0.45)</f>
        <v>-16.318376076548617</v>
      </c>
      <c r="AC51" s="2"/>
      <c r="AE51" s="2">
        <f>10*LOG10(SUMPRODUCT(Masks[Inband_us],Calculate[Linear_Noise_us],Calculate[dF])/F_Nyquist_us)</f>
        <v>-139.05810877079125</v>
      </c>
      <c r="AF51" s="2">
        <f>10*LOG10(SUMPRODUCT(Masks[Inband_ds],Calculate[Linear_Noise_ds],Calculate[dF])/F_Nyquist_ds)</f>
        <v>-139.05810877079125</v>
      </c>
    </row>
    <row r="52" spans="1:32" x14ac:dyDescent="0.25">
      <c r="A52" s="33">
        <f t="shared" si="9"/>
        <v>2295000000</v>
      </c>
      <c r="B52" s="1">
        <f>Calculate[[#This Row],[Freq]]-A51</f>
        <v>45000000</v>
      </c>
      <c r="C52" s="1">
        <f>Channels!B52*cable_length</f>
        <v>-13.489487449090658</v>
      </c>
      <c r="D52" s="1">
        <f>Channels!C52*PCB_trace_length</f>
        <v>-0.83765348000146567</v>
      </c>
      <c r="E52" s="1">
        <f>Calculate[[#This Row],[IL_Cable]]+Calculate[[#This Row],[IL_PCB]]</f>
        <v>-14.327140929092124</v>
      </c>
      <c r="F52" s="2">
        <f>Masks!A52</f>
        <v>-97.744259054147435</v>
      </c>
      <c r="G52" s="2">
        <f>Masks!B52</f>
        <v>-97.744259054147435</v>
      </c>
      <c r="H52" s="2">
        <f>Calculate[[#This Row],[Tx_PSD_us]]+Calculate[[#This Row],[IL]]</f>
        <v>-112.07139998323956</v>
      </c>
      <c r="I52" s="2">
        <f>Calculate[[#This Row],[Tx_PSD_ds]]+Calculate[[#This Row],[IL]]</f>
        <v>-112.07139998323956</v>
      </c>
      <c r="J52" s="2">
        <f>Masks[[#This Row],[channel_echo]]</f>
        <v>-13.767141478916884</v>
      </c>
      <c r="K52" s="2">
        <f>Masks[[#This Row],[channel_echo]]</f>
        <v>-13.767141478916884</v>
      </c>
      <c r="L52" s="2">
        <f>Calculate[[#This Row],[Echo_transfer_us]]+Calculate[[#This Row],[Tx_PSD_ds]]</f>
        <v>-111.51140053306432</v>
      </c>
      <c r="M52" s="2">
        <f>Calculate[[#This Row],[Echo_transfer_ds]]+Calculate[[#This Row],[Tx_PSD_us]]</f>
        <v>-111.51140053306432</v>
      </c>
      <c r="N52" s="2">
        <f t="shared" si="5"/>
        <v>-140</v>
      </c>
      <c r="O52" s="2">
        <f t="shared" si="6"/>
        <v>-140</v>
      </c>
      <c r="P52" s="2">
        <f t="shared" si="7"/>
        <v>6</v>
      </c>
      <c r="Q52" s="2">
        <f t="shared" si="8"/>
        <v>6</v>
      </c>
      <c r="R52" s="2">
        <f>10*LOG10((10^(Calculate[[#This Row],[Rx_echo_us]]/10))-(10^((Masks[[#This Row],[connector_echo]]+Calculate[[#This Row],[Tx_PSD_ds]])/10))*EC_conector_ratio_us)-Calculate[[#This Row],[EC_cancelation_us]]</f>
        <v>-145.38507280081362</v>
      </c>
      <c r="S52" s="2">
        <f>10*LOG10((10^(Calculate[[#This Row],[Rx_echo_ds]]/10))-(10^((Masks[[#This Row],[connector_echo]]+Calculate[[#This Row],[Tx_PSD_us]])/10))*EC_conector_ratio_ds)-Calculate[[#This Row],[EC_cancelation_ds]]</f>
        <v>-145.38507280081362</v>
      </c>
      <c r="T52" s="1">
        <f>(POWER(10,Calculate[[#This Row],[AFE_noise_us]]/10)+POWER(10,Calculate[[#This Row],[Echo_res_us]]/10))</f>
        <v>1.2893961305165344E-14</v>
      </c>
      <c r="U52" s="1">
        <f>(POWER(10,Calculate[[#This Row],[AFE_noise_ds]]/10)+POWER(10,Calculate[[#This Row],[Echo_res_ds]]/10))</f>
        <v>1.2893961305165344E-14</v>
      </c>
      <c r="V52" s="2">
        <f>10*LOG10(Calculate[[#This Row],[Linear_Noise_us]])</f>
        <v>-138.89613637442611</v>
      </c>
      <c r="W52" s="2">
        <f>10*LOG10(Calculate[[#This Row],[Linear_Noise_ds]])</f>
        <v>-138.89613637442611</v>
      </c>
      <c r="X52" s="2">
        <f>Calculate[[#This Row],[Rx_PSD_us]]-Calculate[[#This Row],[Noise_us]]</f>
        <v>26.824736391186548</v>
      </c>
      <c r="Y52" s="2">
        <f>Calculate[[#This Row],[Rx_PSD_ds]]-Calculate[[#This Row],[Noise_ds]]</f>
        <v>26.824736391186548</v>
      </c>
      <c r="Z52" s="2">
        <f>POWER(10,Calculate[[#This Row],[SNRdB_us]]/10)</f>
        <v>481.36403519618301</v>
      </c>
      <c r="AA52" s="2">
        <f>POWER(10,Calculate[[#This Row],[SNRdB_ds]]/10)</f>
        <v>481.36403519618301</v>
      </c>
      <c r="AB52" s="2">
        <f>-(0.002*Calculate[[#This Row],[Freq]]/1000000/2.5+0.68*(Calculate[[#This Row],[Freq]]/1000000/2.5)^0.45)</f>
        <v>-16.484330134412158</v>
      </c>
      <c r="AC52" s="2"/>
      <c r="AE52" s="2">
        <f>AE51+Config!B39</f>
        <v>-138.75229178077456</v>
      </c>
      <c r="AF52" s="2">
        <f>AF51+Config!C39</f>
        <v>-138.75229178077456</v>
      </c>
    </row>
    <row r="53" spans="1:32" x14ac:dyDescent="0.25">
      <c r="A53" s="33">
        <f t="shared" si="9"/>
        <v>2340000000</v>
      </c>
      <c r="B53" s="1">
        <f>Calculate[[#This Row],[Freq]]-A52</f>
        <v>45000000</v>
      </c>
      <c r="C53" s="1">
        <f>Channels!B53*cable_length</f>
        <v>-13.644022105855345</v>
      </c>
      <c r="D53" s="1">
        <f>Channels!C53*PCB_trace_length</f>
        <v>-0.85246623224040641</v>
      </c>
      <c r="E53" s="1">
        <f>Calculate[[#This Row],[IL_Cable]]+Calculate[[#This Row],[IL_PCB]]</f>
        <v>-14.496488338095752</v>
      </c>
      <c r="F53" s="2">
        <f>Masks!A53</f>
        <v>-97.759604977046266</v>
      </c>
      <c r="G53" s="2">
        <f>Masks!B53</f>
        <v>-97.759604977046266</v>
      </c>
      <c r="H53" s="2">
        <f>Calculate[[#This Row],[Tx_PSD_us]]+Calculate[[#This Row],[IL]]</f>
        <v>-112.25609331514201</v>
      </c>
      <c r="I53" s="2">
        <f>Calculate[[#This Row],[Tx_PSD_ds]]+Calculate[[#This Row],[IL]]</f>
        <v>-112.25609331514201</v>
      </c>
      <c r="J53" s="2">
        <f>Masks[[#This Row],[channel_echo]]</f>
        <v>-13.688756159301114</v>
      </c>
      <c r="K53" s="2">
        <f>Masks[[#This Row],[channel_echo]]</f>
        <v>-13.688756159301114</v>
      </c>
      <c r="L53" s="2">
        <f>Calculate[[#This Row],[Echo_transfer_us]]+Calculate[[#This Row],[Tx_PSD_ds]]</f>
        <v>-111.44836113634739</v>
      </c>
      <c r="M53" s="2">
        <f>Calculate[[#This Row],[Echo_transfer_ds]]+Calculate[[#This Row],[Tx_PSD_us]]</f>
        <v>-111.44836113634739</v>
      </c>
      <c r="N53" s="2">
        <f t="shared" si="5"/>
        <v>-140</v>
      </c>
      <c r="O53" s="2">
        <f t="shared" si="6"/>
        <v>-140</v>
      </c>
      <c r="P53" s="2">
        <f t="shared" si="7"/>
        <v>6</v>
      </c>
      <c r="Q53" s="2">
        <f t="shared" si="8"/>
        <v>6</v>
      </c>
      <c r="R53" s="2">
        <f>10*LOG10((10^(Calculate[[#This Row],[Rx_echo_us]]/10))-(10^((Masks[[#This Row],[connector_echo]]+Calculate[[#This Row],[Tx_PSD_ds]])/10))*EC_conector_ratio_us)-Calculate[[#This Row],[EC_cancelation_us]]</f>
        <v>-145.40041872371503</v>
      </c>
      <c r="S53" s="2">
        <f>10*LOG10((10^(Calculate[[#This Row],[Rx_echo_ds]]/10))-(10^((Masks[[#This Row],[connector_echo]]+Calculate[[#This Row],[Tx_PSD_us]])/10))*EC_conector_ratio_ds)-Calculate[[#This Row],[EC_cancelation_ds]]</f>
        <v>-145.40041872371503</v>
      </c>
      <c r="T53" s="1">
        <f>(POWER(10,Calculate[[#This Row],[AFE_noise_us]]/10)+POWER(10,Calculate[[#This Row],[Echo_res_us]]/10))</f>
        <v>1.2883753453503202E-14</v>
      </c>
      <c r="U53" s="1">
        <f>(POWER(10,Calculate[[#This Row],[AFE_noise_ds]]/10)+POWER(10,Calculate[[#This Row],[Echo_res_ds]]/10))</f>
        <v>1.2883753453503202E-14</v>
      </c>
      <c r="V53" s="2">
        <f>10*LOG10(Calculate[[#This Row],[Linear_Noise_us]])</f>
        <v>-138.89957594532848</v>
      </c>
      <c r="W53" s="2">
        <f>10*LOG10(Calculate[[#This Row],[Linear_Noise_ds]])</f>
        <v>-138.89957594532848</v>
      </c>
      <c r="X53" s="2">
        <f>Calculate[[#This Row],[Rx_PSD_us]]-Calculate[[#This Row],[Noise_us]]</f>
        <v>26.643482630186469</v>
      </c>
      <c r="Y53" s="2">
        <f>Calculate[[#This Row],[Rx_PSD_ds]]-Calculate[[#This Row],[Noise_ds]]</f>
        <v>26.643482630186469</v>
      </c>
      <c r="Z53" s="2">
        <f>POWER(10,Calculate[[#This Row],[SNRdB_us]]/10)</f>
        <v>461.68765590375051</v>
      </c>
      <c r="AA53" s="2">
        <f>POWER(10,Calculate[[#This Row],[SNRdB_ds]]/10)</f>
        <v>461.68765590375051</v>
      </c>
      <c r="AB53" s="2">
        <f>-(0.002*Calculate[[#This Row],[Freq]]/1000000/2.5+0.68*(Calculate[[#This Row],[Freq]]/1000000/2.5)^0.45)</f>
        <v>-16.648890143482916</v>
      </c>
      <c r="AC53" s="2"/>
    </row>
    <row r="54" spans="1:32" x14ac:dyDescent="0.25">
      <c r="A54" s="33">
        <f t="shared" si="9"/>
        <v>2385000000</v>
      </c>
      <c r="B54" s="1">
        <f>Calculate[[#This Row],[Freq]]-A53</f>
        <v>45000000</v>
      </c>
      <c r="C54" s="1">
        <f>Channels!B54*cable_length</f>
        <v>-13.797514560475067</v>
      </c>
      <c r="D54" s="1">
        <f>Channels!C54*PCB_trace_length</f>
        <v>-0.86726370828398947</v>
      </c>
      <c r="E54" s="1">
        <f>Calculate[[#This Row],[IL_Cable]]+Calculate[[#This Row],[IL_PCB]]</f>
        <v>-14.664778268759056</v>
      </c>
      <c r="F54" s="2">
        <f>Masks!A54</f>
        <v>-97.775260227857032</v>
      </c>
      <c r="G54" s="2">
        <f>Masks!B54</f>
        <v>-97.775260227857032</v>
      </c>
      <c r="H54" s="2">
        <f>Calculate[[#This Row],[Tx_PSD_us]]+Calculate[[#This Row],[IL]]</f>
        <v>-112.44003849661608</v>
      </c>
      <c r="I54" s="2">
        <f>Calculate[[#This Row],[Tx_PSD_ds]]+Calculate[[#This Row],[IL]]</f>
        <v>-112.44003849661608</v>
      </c>
      <c r="J54" s="2">
        <f>Masks[[#This Row],[channel_echo]]</f>
        <v>-13.611760561573474</v>
      </c>
      <c r="K54" s="2">
        <f>Masks[[#This Row],[channel_echo]]</f>
        <v>-13.611760561573474</v>
      </c>
      <c r="L54" s="2">
        <f>Calculate[[#This Row],[Echo_transfer_us]]+Calculate[[#This Row],[Tx_PSD_ds]]</f>
        <v>-111.38702078943051</v>
      </c>
      <c r="M54" s="2">
        <f>Calculate[[#This Row],[Echo_transfer_ds]]+Calculate[[#This Row],[Tx_PSD_us]]</f>
        <v>-111.38702078943051</v>
      </c>
      <c r="N54" s="2">
        <f t="shared" si="5"/>
        <v>-140</v>
      </c>
      <c r="O54" s="2">
        <f t="shared" si="6"/>
        <v>-140</v>
      </c>
      <c r="P54" s="2">
        <f t="shared" si="7"/>
        <v>6</v>
      </c>
      <c r="Q54" s="2">
        <f t="shared" si="8"/>
        <v>6</v>
      </c>
      <c r="R54" s="2">
        <f>10*LOG10((10^(Calculate[[#This Row],[Rx_echo_us]]/10))-(10^((Masks[[#This Row],[connector_echo]]+Calculate[[#This Row],[Tx_PSD_ds]])/10))*EC_conector_ratio_us)-Calculate[[#This Row],[EC_cancelation_us]]</f>
        <v>-145.41607397453052</v>
      </c>
      <c r="S54" s="2">
        <f>10*LOG10((10^(Calculate[[#This Row],[Rx_echo_ds]]/10))-(10^((Masks[[#This Row],[connector_echo]]+Calculate[[#This Row],[Tx_PSD_us]])/10))*EC_conector_ratio_ds)-Calculate[[#This Row],[EC_cancelation_ds]]</f>
        <v>-145.41607397453052</v>
      </c>
      <c r="T54" s="1">
        <f>(POWER(10,Calculate[[#This Row],[AFE_noise_us]]/10)+POWER(10,Calculate[[#This Row],[Echo_res_us]]/10))</f>
        <v>1.2873376943266751E-14</v>
      </c>
      <c r="U54" s="1">
        <f>(POWER(10,Calculate[[#This Row],[AFE_noise_ds]]/10)+POWER(10,Calculate[[#This Row],[Echo_res_ds]]/10))</f>
        <v>1.2873376943266751E-14</v>
      </c>
      <c r="V54" s="2">
        <f>10*LOG10(Calculate[[#This Row],[Linear_Noise_us]])</f>
        <v>-138.90307514055053</v>
      </c>
      <c r="W54" s="2">
        <f>10*LOG10(Calculate[[#This Row],[Linear_Noise_ds]])</f>
        <v>-138.90307514055053</v>
      </c>
      <c r="X54" s="2">
        <f>Calculate[[#This Row],[Rx_PSD_us]]-Calculate[[#This Row],[Noise_us]]</f>
        <v>26.463036643934444</v>
      </c>
      <c r="Y54" s="2">
        <f>Calculate[[#This Row],[Rx_PSD_ds]]-Calculate[[#This Row],[Noise_ds]]</f>
        <v>26.463036643934444</v>
      </c>
      <c r="Z54" s="2">
        <f>POWER(10,Calculate[[#This Row],[SNRdB_us]]/10)</f>
        <v>442.89794416869654</v>
      </c>
      <c r="AA54" s="2">
        <f>POWER(10,Calculate[[#This Row],[SNRdB_ds]]/10)</f>
        <v>442.89794416869654</v>
      </c>
      <c r="AB54" s="2">
        <f>-(0.002*Calculate[[#This Row],[Freq]]/1000000/2.5+0.68*(Calculate[[#This Row],[Freq]]/1000000/2.5)^0.45)</f>
        <v>-16.812097443273519</v>
      </c>
      <c r="AC54" s="2"/>
    </row>
    <row r="55" spans="1:32" x14ac:dyDescent="0.25">
      <c r="A55" s="33">
        <f t="shared" si="9"/>
        <v>2430000000</v>
      </c>
      <c r="B55" s="1">
        <f>Calculate[[#This Row],[Freq]]-A54</f>
        <v>45000000</v>
      </c>
      <c r="C55" s="1">
        <f>Channels!B55*cable_length</f>
        <v>-13.949994174039483</v>
      </c>
      <c r="D55" s="1">
        <f>Channels!C55*PCB_trace_length</f>
        <v>-0.88204633849569503</v>
      </c>
      <c r="E55" s="1">
        <f>Calculate[[#This Row],[IL_Cable]]+Calculate[[#This Row],[IL_PCB]]</f>
        <v>-14.832040512535178</v>
      </c>
      <c r="F55" s="2">
        <f>Masks!A55</f>
        <v>-97.791225485919881</v>
      </c>
      <c r="G55" s="2">
        <f>Masks!B55</f>
        <v>-97.791225485919881</v>
      </c>
      <c r="H55" s="2">
        <f>Calculate[[#This Row],[Tx_PSD_us]]+Calculate[[#This Row],[IL]]</f>
        <v>-112.62326599845505</v>
      </c>
      <c r="I55" s="2">
        <f>Calculate[[#This Row],[Tx_PSD_ds]]+Calculate[[#This Row],[IL]]</f>
        <v>-112.62326599845505</v>
      </c>
      <c r="J55" s="2">
        <f>Masks[[#This Row],[channel_echo]]</f>
        <v>-13.536106265182132</v>
      </c>
      <c r="K55" s="2">
        <f>Masks[[#This Row],[channel_echo]]</f>
        <v>-13.536106265182132</v>
      </c>
      <c r="L55" s="2">
        <f>Calculate[[#This Row],[Echo_transfer_us]]+Calculate[[#This Row],[Tx_PSD_ds]]</f>
        <v>-111.32733175110201</v>
      </c>
      <c r="M55" s="2">
        <f>Calculate[[#This Row],[Echo_transfer_ds]]+Calculate[[#This Row],[Tx_PSD_us]]</f>
        <v>-111.32733175110201</v>
      </c>
      <c r="N55" s="2">
        <f t="shared" si="5"/>
        <v>-140</v>
      </c>
      <c r="O55" s="2">
        <f t="shared" si="6"/>
        <v>-140</v>
      </c>
      <c r="P55" s="2">
        <f t="shared" si="7"/>
        <v>6</v>
      </c>
      <c r="Q55" s="2">
        <f t="shared" si="8"/>
        <v>6</v>
      </c>
      <c r="R55" s="2">
        <f>10*LOG10((10^(Calculate[[#This Row],[Rx_echo_us]]/10))-(10^((Masks[[#This Row],[connector_echo]]+Calculate[[#This Row],[Tx_PSD_ds]])/10))*EC_conector_ratio_us)-Calculate[[#This Row],[EC_cancelation_us]]</f>
        <v>-145.43203923256658</v>
      </c>
      <c r="S55" s="2">
        <f>10*LOG10((10^(Calculate[[#This Row],[Rx_echo_ds]]/10))-(10^((Masks[[#This Row],[connector_echo]]+Calculate[[#This Row],[Tx_PSD_us]])/10))*EC_conector_ratio_ds)-Calculate[[#This Row],[EC_cancelation_ds]]</f>
        <v>-145.43203923256658</v>
      </c>
      <c r="T55" s="1">
        <f>(POWER(10,Calculate[[#This Row],[AFE_noise_us]]/10)+POWER(10,Calculate[[#This Row],[Echo_res_us]]/10))</f>
        <v>1.2862833408970954E-14</v>
      </c>
      <c r="U55" s="1">
        <f>(POWER(10,Calculate[[#This Row],[AFE_noise_ds]]/10)+POWER(10,Calculate[[#This Row],[Echo_res_ds]]/10))</f>
        <v>1.2862833408970954E-14</v>
      </c>
      <c r="V55" s="2">
        <f>10*LOG10(Calculate[[#This Row],[Linear_Noise_us]])</f>
        <v>-138.90663355024481</v>
      </c>
      <c r="W55" s="2">
        <f>10*LOG10(Calculate[[#This Row],[Linear_Noise_ds]])</f>
        <v>-138.90663355024481</v>
      </c>
      <c r="X55" s="2">
        <f>Calculate[[#This Row],[Rx_PSD_us]]-Calculate[[#This Row],[Noise_us]]</f>
        <v>26.283367551789752</v>
      </c>
      <c r="Y55" s="2">
        <f>Calculate[[#This Row],[Rx_PSD_ds]]-Calculate[[#This Row],[Noise_ds]]</f>
        <v>26.283367551789752</v>
      </c>
      <c r="Z55" s="2">
        <f>POWER(10,Calculate[[#This Row],[SNRdB_us]]/10)</f>
        <v>424.94894480746149</v>
      </c>
      <c r="AA55" s="2">
        <f>POWER(10,Calculate[[#This Row],[SNRdB_ds]]/10)</f>
        <v>424.94894480746149</v>
      </c>
      <c r="AB55" s="2">
        <f>-(0.002*Calculate[[#This Row],[Freq]]/1000000/2.5+0.68*(Calculate[[#This Row],[Freq]]/1000000/2.5)^0.45)</f>
        <v>-16.973991394280326</v>
      </c>
      <c r="AC55" s="2"/>
    </row>
    <row r="56" spans="1:32" x14ac:dyDescent="0.25">
      <c r="A56" s="33">
        <f t="shared" si="9"/>
        <v>2475000000</v>
      </c>
      <c r="B56" s="1">
        <f>Calculate[[#This Row],[Freq]]-A55</f>
        <v>45000000</v>
      </c>
      <c r="C56" s="1">
        <f>Channels!B56*cable_length</f>
        <v>-14.101488954386667</v>
      </c>
      <c r="D56" s="1">
        <f>Channels!C56*PCB_trace_length</f>
        <v>-0.89681453340356476</v>
      </c>
      <c r="E56" s="1">
        <f>Calculate[[#This Row],[IL_Cable]]+Calculate[[#This Row],[IL_PCB]]</f>
        <v>-14.998303487790231</v>
      </c>
      <c r="F56" s="2">
        <f>Masks!A56</f>
        <v>-97.807501445943899</v>
      </c>
      <c r="G56" s="2">
        <f>Masks!B56</f>
        <v>-97.807501445943899</v>
      </c>
      <c r="H56" s="2">
        <f>Calculate[[#This Row],[Tx_PSD_us]]+Calculate[[#This Row],[IL]]</f>
        <v>-112.80580493373412</v>
      </c>
      <c r="I56" s="2">
        <f>Calculate[[#This Row],[Tx_PSD_ds]]+Calculate[[#This Row],[IL]]</f>
        <v>-112.80580493373412</v>
      </c>
      <c r="J56" s="2">
        <f>Masks[[#This Row],[channel_echo]]</f>
        <v>-13.461747336901572</v>
      </c>
      <c r="K56" s="2">
        <f>Masks[[#This Row],[channel_echo]]</f>
        <v>-13.461747336901572</v>
      </c>
      <c r="L56" s="2">
        <f>Calculate[[#This Row],[Echo_transfer_us]]+Calculate[[#This Row],[Tx_PSD_ds]]</f>
        <v>-111.26924878284547</v>
      </c>
      <c r="M56" s="2">
        <f>Calculate[[#This Row],[Echo_transfer_ds]]+Calculate[[#This Row],[Tx_PSD_us]]</f>
        <v>-111.26924878284547</v>
      </c>
      <c r="N56" s="2">
        <f t="shared" si="5"/>
        <v>-140</v>
      </c>
      <c r="O56" s="2">
        <f t="shared" si="6"/>
        <v>-140</v>
      </c>
      <c r="P56" s="2">
        <f t="shared" si="7"/>
        <v>6</v>
      </c>
      <c r="Q56" s="2">
        <f t="shared" si="8"/>
        <v>6</v>
      </c>
      <c r="R56" s="2">
        <f>10*LOG10((10^(Calculate[[#This Row],[Rx_echo_us]]/10))-(10^((Masks[[#This Row],[connector_echo]]+Calculate[[#This Row],[Tx_PSD_ds]])/10))*EC_conector_ratio_us)-Calculate[[#This Row],[EC_cancelation_us]]</f>
        <v>-145.4483151926006</v>
      </c>
      <c r="S56" s="2">
        <f>10*LOG10((10^(Calculate[[#This Row],[Rx_echo_ds]]/10))-(10^((Masks[[#This Row],[connector_echo]]+Calculate[[#This Row],[Tx_PSD_us]])/10))*EC_conector_ratio_ds)-Calculate[[#This Row],[EC_cancelation_ds]]</f>
        <v>-145.4483151926006</v>
      </c>
      <c r="T56" s="1">
        <f>(POWER(10,Calculate[[#This Row],[AFE_noise_us]]/10)+POWER(10,Calculate[[#This Row],[Echo_res_us]]/10))</f>
        <v>1.2852124509631144E-14</v>
      </c>
      <c r="U56" s="1">
        <f>(POWER(10,Calculate[[#This Row],[AFE_noise_ds]]/10)+POWER(10,Calculate[[#This Row],[Echo_res_ds]]/10))</f>
        <v>1.2852124509631144E-14</v>
      </c>
      <c r="V56" s="2">
        <f>10*LOG10(Calculate[[#This Row],[Linear_Noise_us]])</f>
        <v>-138.9102507571437</v>
      </c>
      <c r="W56" s="2">
        <f>10*LOG10(Calculate[[#This Row],[Linear_Noise_ds]])</f>
        <v>-138.9102507571437</v>
      </c>
      <c r="X56" s="2">
        <f>Calculate[[#This Row],[Rx_PSD_us]]-Calculate[[#This Row],[Noise_us]]</f>
        <v>26.104445823409577</v>
      </c>
      <c r="Y56" s="2">
        <f>Calculate[[#This Row],[Rx_PSD_ds]]-Calculate[[#This Row],[Noise_ds]]</f>
        <v>26.104445823409577</v>
      </c>
      <c r="Z56" s="2">
        <f>POWER(10,Calculate[[#This Row],[SNRdB_us]]/10)</f>
        <v>407.79752190684178</v>
      </c>
      <c r="AA56" s="2">
        <f>POWER(10,Calculate[[#This Row],[SNRdB_ds]]/10)</f>
        <v>407.79752190684178</v>
      </c>
      <c r="AB56" s="2">
        <f>-(0.002*Calculate[[#This Row],[Freq]]/1000000/2.5+0.68*(Calculate[[#This Row],[Freq]]/1000000/2.5)^0.45)</f>
        <v>-17.134609507451291</v>
      </c>
      <c r="AC56" s="2"/>
    </row>
    <row r="57" spans="1:32" x14ac:dyDescent="0.25">
      <c r="A57" s="33">
        <f t="shared" si="9"/>
        <v>2520000000</v>
      </c>
      <c r="B57" s="1">
        <f>Calculate[[#This Row],[Freq]]-A56</f>
        <v>45000000</v>
      </c>
      <c r="C57" s="1">
        <f>Channels!B57*cable_length</f>
        <v>-14.252025641845758</v>
      </c>
      <c r="D57" s="1">
        <f>Channels!C57*PCB_trace_length</f>
        <v>-0.91156868495698562</v>
      </c>
      <c r="E57" s="1">
        <f>Calculate[[#This Row],[IL_Cable]]+Calculate[[#This Row],[IL_PCB]]</f>
        <v>-15.163594326802745</v>
      </c>
      <c r="F57" s="2">
        <f>Masks!A57</f>
        <v>-97.824088818156511</v>
      </c>
      <c r="G57" s="2">
        <f>Masks!B57</f>
        <v>-97.824088818156511</v>
      </c>
      <c r="H57" s="2">
        <f>Calculate[[#This Row],[Tx_PSD_us]]+Calculate[[#This Row],[IL]]</f>
        <v>-112.98768314495925</v>
      </c>
      <c r="I57" s="2">
        <f>Calculate[[#This Row],[Tx_PSD_ds]]+Calculate[[#This Row],[IL]]</f>
        <v>-112.98768314495925</v>
      </c>
      <c r="J57" s="2">
        <f>Masks[[#This Row],[channel_echo]]</f>
        <v>-13.388640163333953</v>
      </c>
      <c r="K57" s="2">
        <f>Masks[[#This Row],[channel_echo]]</f>
        <v>-13.388640163333953</v>
      </c>
      <c r="L57" s="2">
        <f>Calculate[[#This Row],[Echo_transfer_us]]+Calculate[[#This Row],[Tx_PSD_ds]]</f>
        <v>-111.21272898149047</v>
      </c>
      <c r="M57" s="2">
        <f>Calculate[[#This Row],[Echo_transfer_ds]]+Calculate[[#This Row],[Tx_PSD_us]]</f>
        <v>-111.21272898149047</v>
      </c>
      <c r="N57" s="2">
        <f t="shared" si="5"/>
        <v>-140</v>
      </c>
      <c r="O57" s="2">
        <f t="shared" si="6"/>
        <v>-140</v>
      </c>
      <c r="P57" s="2">
        <f t="shared" si="7"/>
        <v>6</v>
      </c>
      <c r="Q57" s="2">
        <f t="shared" si="8"/>
        <v>6</v>
      </c>
      <c r="R57" s="2">
        <f>10*LOG10((10^(Calculate[[#This Row],[Rx_echo_us]]/10))-(10^((Masks[[#This Row],[connector_echo]]+Calculate[[#This Row],[Tx_PSD_ds]])/10))*EC_conector_ratio_us)-Calculate[[#This Row],[EC_cancelation_us]]</f>
        <v>-145.4649025648375</v>
      </c>
      <c r="S57" s="2">
        <f>10*LOG10((10^(Calculate[[#This Row],[Rx_echo_ds]]/10))-(10^((Masks[[#This Row],[connector_echo]]+Calculate[[#This Row],[Tx_PSD_us]])/10))*EC_conector_ratio_ds)-Calculate[[#This Row],[EC_cancelation_ds]]</f>
        <v>-145.4649025648375</v>
      </c>
      <c r="T57" s="1">
        <f>(POWER(10,Calculate[[#This Row],[AFE_noise_us]]/10)+POWER(10,Calculate[[#This Row],[Echo_res_us]]/10))</f>
        <v>1.2841251928537299E-14</v>
      </c>
      <c r="U57" s="1">
        <f>(POWER(10,Calculate[[#This Row],[AFE_noise_ds]]/10)+POWER(10,Calculate[[#This Row],[Echo_res_ds]]/10))</f>
        <v>1.2841251928537299E-14</v>
      </c>
      <c r="V57" s="2">
        <f>10*LOG10(Calculate[[#This Row],[Linear_Noise_us]])</f>
        <v>-138.91392633654164</v>
      </c>
      <c r="W57" s="2">
        <f>10*LOG10(Calculate[[#This Row],[Linear_Noise_ds]])</f>
        <v>-138.91392633654164</v>
      </c>
      <c r="X57" s="2">
        <f>Calculate[[#This Row],[Rx_PSD_us]]-Calculate[[#This Row],[Noise_us]]</f>
        <v>25.926243191582387</v>
      </c>
      <c r="Y57" s="2">
        <f>Calculate[[#This Row],[Rx_PSD_ds]]-Calculate[[#This Row],[Noise_ds]]</f>
        <v>25.926243191582387</v>
      </c>
      <c r="Z57" s="2">
        <f>POWER(10,Calculate[[#This Row],[SNRdB_us]]/10)</f>
        <v>391.4031523739792</v>
      </c>
      <c r="AA57" s="2">
        <f>POWER(10,Calculate[[#This Row],[SNRdB_ds]]/10)</f>
        <v>391.4031523739792</v>
      </c>
      <c r="AB57" s="2">
        <f>-(0.002*Calculate[[#This Row],[Freq]]/1000000/2.5+0.68*(Calculate[[#This Row],[Freq]]/1000000/2.5)^0.45)</f>
        <v>-17.293987562994062</v>
      </c>
      <c r="AC57" s="2"/>
    </row>
    <row r="58" spans="1:32" x14ac:dyDescent="0.25">
      <c r="A58" s="33">
        <f t="shared" si="9"/>
        <v>2565000000</v>
      </c>
      <c r="B58" s="1">
        <f>Calculate[[#This Row],[Freq]]-A57</f>
        <v>45000000</v>
      </c>
      <c r="C58" s="1">
        <f>Channels!B58*cable_length</f>
        <v>-14.401629788118674</v>
      </c>
      <c r="D58" s="1">
        <f>Channels!C58*PCB_trace_length</f>
        <v>-0.92630916768290739</v>
      </c>
      <c r="E58" s="1">
        <f>Calculate[[#This Row],[IL_Cable]]+Calculate[[#This Row],[IL_PCB]]</f>
        <v>-15.327938955801581</v>
      </c>
      <c r="F58" s="2">
        <f>Masks!A58</f>
        <v>-97.840988328456731</v>
      </c>
      <c r="G58" s="2">
        <f>Masks!B58</f>
        <v>-97.840988328456731</v>
      </c>
      <c r="H58" s="2">
        <f>Calculate[[#This Row],[Tx_PSD_us]]+Calculate[[#This Row],[IL]]</f>
        <v>-113.16892728425832</v>
      </c>
      <c r="I58" s="2">
        <f>Calculate[[#This Row],[Tx_PSD_ds]]+Calculate[[#This Row],[IL]]</f>
        <v>-113.16892728425832</v>
      </c>
      <c r="J58" s="2">
        <f>Masks[[#This Row],[channel_echo]]</f>
        <v>-13.316743297276709</v>
      </c>
      <c r="K58" s="2">
        <f>Masks[[#This Row],[channel_echo]]</f>
        <v>-13.316743297276709</v>
      </c>
      <c r="L58" s="2">
        <f>Calculate[[#This Row],[Echo_transfer_us]]+Calculate[[#This Row],[Tx_PSD_ds]]</f>
        <v>-111.15773162573345</v>
      </c>
      <c r="M58" s="2">
        <f>Calculate[[#This Row],[Echo_transfer_ds]]+Calculate[[#This Row],[Tx_PSD_us]]</f>
        <v>-111.15773162573345</v>
      </c>
      <c r="N58" s="2">
        <f t="shared" si="5"/>
        <v>-140</v>
      </c>
      <c r="O58" s="2">
        <f t="shared" si="6"/>
        <v>-140</v>
      </c>
      <c r="P58" s="2">
        <f t="shared" si="7"/>
        <v>6</v>
      </c>
      <c r="Q58" s="2">
        <f t="shared" si="8"/>
        <v>6</v>
      </c>
      <c r="R58" s="2">
        <f>10*LOG10((10^(Calculate[[#This Row],[Rx_echo_us]]/10))-(10^((Masks[[#This Row],[connector_echo]]+Calculate[[#This Row],[Tx_PSD_ds]])/10))*EC_conector_ratio_us)-Calculate[[#This Row],[EC_cancelation_us]]</f>
        <v>-145.48180207512135</v>
      </c>
      <c r="S58" s="2">
        <f>10*LOG10((10^(Calculate[[#This Row],[Rx_echo_ds]]/10))-(10^((Masks[[#This Row],[connector_echo]]+Calculate[[#This Row],[Tx_PSD_us]])/10))*EC_conector_ratio_ds)-Calculate[[#This Row],[EC_cancelation_ds]]</f>
        <v>-145.48180207512135</v>
      </c>
      <c r="T58" s="1">
        <f>(POWER(10,Calculate[[#This Row],[AFE_noise_us]]/10)+POWER(10,Calculate[[#This Row],[Echo_res_us]]/10))</f>
        <v>1.2830217372857006E-14</v>
      </c>
      <c r="U58" s="1">
        <f>(POWER(10,Calculate[[#This Row],[AFE_noise_ds]]/10)+POWER(10,Calculate[[#This Row],[Echo_res_ds]]/10))</f>
        <v>1.2830217372857006E-14</v>
      </c>
      <c r="V58" s="2">
        <f>10*LOG10(Calculate[[#This Row],[Linear_Noise_us]])</f>
        <v>-138.91765985633444</v>
      </c>
      <c r="W58" s="2">
        <f>10*LOG10(Calculate[[#This Row],[Linear_Noise_ds]])</f>
        <v>-138.91765985633444</v>
      </c>
      <c r="X58" s="2">
        <f>Calculate[[#This Row],[Rx_PSD_us]]-Calculate[[#This Row],[Noise_us]]</f>
        <v>25.748732572076122</v>
      </c>
      <c r="Y58" s="2">
        <f>Calculate[[#This Row],[Rx_PSD_ds]]-Calculate[[#This Row],[Noise_ds]]</f>
        <v>25.748732572076122</v>
      </c>
      <c r="Z58" s="2">
        <f>POWER(10,Calculate[[#This Row],[SNRdB_us]]/10)</f>
        <v>375.72773738268125</v>
      </c>
      <c r="AA58" s="2">
        <f>POWER(10,Calculate[[#This Row],[SNRdB_ds]]/10)</f>
        <v>375.72773738268125</v>
      </c>
      <c r="AB58" s="2">
        <f>-(0.002*Calculate[[#This Row],[Freq]]/1000000/2.5+0.68*(Calculate[[#This Row],[Freq]]/1000000/2.5)^0.45)</f>
        <v>-17.452159719575963</v>
      </c>
      <c r="AC58" s="2"/>
    </row>
    <row r="59" spans="1:32" x14ac:dyDescent="0.25">
      <c r="A59" s="33">
        <f t="shared" si="9"/>
        <v>2610000000</v>
      </c>
      <c r="B59" s="1">
        <f>Calculate[[#This Row],[Freq]]-A58</f>
        <v>45000000</v>
      </c>
      <c r="C59" s="1">
        <f>Channels!B59*cable_length</f>
        <v>-14.550325828960156</v>
      </c>
      <c r="D59" s="1">
        <f>Channels!C59*PCB_trace_length</f>
        <v>-0.94103633975115808</v>
      </c>
      <c r="E59" s="1">
        <f>Calculate[[#This Row],[IL_Cable]]+Calculate[[#This Row],[IL_PCB]]</f>
        <v>-15.491362168711314</v>
      </c>
      <c r="F59" s="2">
        <f>Masks!A59</f>
        <v>-97.858200718572533</v>
      </c>
      <c r="G59" s="2">
        <f>Masks!B59</f>
        <v>-97.858200718572533</v>
      </c>
      <c r="H59" s="2">
        <f>Calculate[[#This Row],[Tx_PSD_us]]+Calculate[[#This Row],[IL]]</f>
        <v>-113.34956288728385</v>
      </c>
      <c r="I59" s="2">
        <f>Calculate[[#This Row],[Tx_PSD_ds]]+Calculate[[#This Row],[IL]]</f>
        <v>-113.34956288728385</v>
      </c>
      <c r="J59" s="2">
        <f>Masks[[#This Row],[channel_echo]]</f>
        <v>-13.246017316601362</v>
      </c>
      <c r="K59" s="2">
        <f>Masks[[#This Row],[channel_echo]]</f>
        <v>-13.246017316601362</v>
      </c>
      <c r="L59" s="2">
        <f>Calculate[[#This Row],[Echo_transfer_us]]+Calculate[[#This Row],[Tx_PSD_ds]]</f>
        <v>-111.1042180351739</v>
      </c>
      <c r="M59" s="2">
        <f>Calculate[[#This Row],[Echo_transfer_ds]]+Calculate[[#This Row],[Tx_PSD_us]]</f>
        <v>-111.1042180351739</v>
      </c>
      <c r="N59" s="2">
        <f t="shared" si="5"/>
        <v>-140</v>
      </c>
      <c r="O59" s="2">
        <f t="shared" si="6"/>
        <v>-140</v>
      </c>
      <c r="P59" s="2">
        <f t="shared" si="7"/>
        <v>6</v>
      </c>
      <c r="Q59" s="2">
        <f t="shared" si="8"/>
        <v>6</v>
      </c>
      <c r="R59" s="2">
        <f>10*LOG10((10^(Calculate[[#This Row],[Rx_echo_us]]/10))-(10^((Masks[[#This Row],[connector_echo]]+Calculate[[#This Row],[Tx_PSD_ds]])/10))*EC_conector_ratio_us)-Calculate[[#This Row],[EC_cancelation_us]]</f>
        <v>-145.49901446524166</v>
      </c>
      <c r="S59" s="2">
        <f>10*LOG10((10^(Calculate[[#This Row],[Rx_echo_ds]]/10))-(10^((Masks[[#This Row],[connector_echo]]+Calculate[[#This Row],[Tx_PSD_us]])/10))*EC_conector_ratio_ds)-Calculate[[#This Row],[EC_cancelation_ds]]</f>
        <v>-145.49901446524166</v>
      </c>
      <c r="T59" s="1">
        <f>(POWER(10,Calculate[[#This Row],[AFE_noise_us]]/10)+POWER(10,Calculate[[#This Row],[Echo_res_us]]/10))</f>
        <v>1.2819022573175534E-14</v>
      </c>
      <c r="U59" s="1">
        <f>(POWER(10,Calculate[[#This Row],[AFE_noise_ds]]/10)+POWER(10,Calculate[[#This Row],[Echo_res_ds]]/10))</f>
        <v>1.2819022573175534E-14</v>
      </c>
      <c r="V59" s="2">
        <f>10*LOG10(Calculate[[#This Row],[Linear_Noise_us]])</f>
        <v>-138.92145087707939</v>
      </c>
      <c r="W59" s="2">
        <f>10*LOG10(Calculate[[#This Row],[Linear_Noise_ds]])</f>
        <v>-138.92145087707939</v>
      </c>
      <c r="X59" s="2">
        <f>Calculate[[#This Row],[Rx_PSD_us]]-Calculate[[#This Row],[Noise_us]]</f>
        <v>25.571887989795542</v>
      </c>
      <c r="Y59" s="2">
        <f>Calculate[[#This Row],[Rx_PSD_ds]]-Calculate[[#This Row],[Noise_ds]]</f>
        <v>25.571887989795542</v>
      </c>
      <c r="Z59" s="2">
        <f>POWER(10,Calculate[[#This Row],[SNRdB_us]]/10)</f>
        <v>360.73542990754248</v>
      </c>
      <c r="AA59" s="2">
        <f>POWER(10,Calculate[[#This Row],[SNRdB_ds]]/10)</f>
        <v>360.73542990754248</v>
      </c>
      <c r="AB59" s="2">
        <f>-(0.002*Calculate[[#This Row],[Freq]]/1000000/2.5+0.68*(Calculate[[#This Row],[Freq]]/1000000/2.5)^0.45)</f>
        <v>-17.609158614847171</v>
      </c>
      <c r="AC59" s="2"/>
    </row>
    <row r="60" spans="1:32" x14ac:dyDescent="0.25">
      <c r="A60" s="33">
        <f t="shared" si="9"/>
        <v>2655000000</v>
      </c>
      <c r="B60" s="1">
        <f>Calculate[[#This Row],[Freq]]-A59</f>
        <v>45000000</v>
      </c>
      <c r="C60" s="1">
        <f>Channels!B60*cable_length</f>
        <v>-14.698137151241845</v>
      </c>
      <c r="D60" s="1">
        <f>Channels!C60*PCB_trace_length</f>
        <v>-0.95575054395744352</v>
      </c>
      <c r="E60" s="1">
        <f>Calculate[[#This Row],[IL_Cable]]+Calculate[[#This Row],[IL_PCB]]</f>
        <v>-15.653887695199288</v>
      </c>
      <c r="F60" s="2">
        <f>Masks!A60</f>
        <v>-97.875726746222213</v>
      </c>
      <c r="G60" s="2">
        <f>Masks!B60</f>
        <v>-97.875726746222213</v>
      </c>
      <c r="H60" s="2">
        <f>Calculate[[#This Row],[Tx_PSD_us]]+Calculate[[#This Row],[IL]]</f>
        <v>-113.5296144414215</v>
      </c>
      <c r="I60" s="2">
        <f>Calculate[[#This Row],[Tx_PSD_ds]]+Calculate[[#This Row],[IL]]</f>
        <v>-113.5296144414215</v>
      </c>
      <c r="J60" s="2">
        <f>Masks[[#This Row],[channel_echo]]</f>
        <v>-13.176424694440405</v>
      </c>
      <c r="K60" s="2">
        <f>Masks[[#This Row],[channel_echo]]</f>
        <v>-13.176424694440405</v>
      </c>
      <c r="L60" s="2">
        <f>Calculate[[#This Row],[Echo_transfer_us]]+Calculate[[#This Row],[Tx_PSD_ds]]</f>
        <v>-111.05215144066261</v>
      </c>
      <c r="M60" s="2">
        <f>Calculate[[#This Row],[Echo_transfer_ds]]+Calculate[[#This Row],[Tx_PSD_us]]</f>
        <v>-111.05215144066261</v>
      </c>
      <c r="N60" s="2">
        <f t="shared" si="5"/>
        <v>-140</v>
      </c>
      <c r="O60" s="2">
        <f t="shared" si="6"/>
        <v>-140</v>
      </c>
      <c r="P60" s="2">
        <f t="shared" si="7"/>
        <v>6</v>
      </c>
      <c r="Q60" s="2">
        <f t="shared" si="8"/>
        <v>6</v>
      </c>
      <c r="R60" s="2">
        <f>10*LOG10((10^(Calculate[[#This Row],[Rx_echo_us]]/10))-(10^((Masks[[#This Row],[connector_echo]]+Calculate[[#This Row],[Tx_PSD_ds]])/10))*EC_conector_ratio_us)-Calculate[[#This Row],[EC_cancelation_us]]</f>
        <v>-145.51654049288038</v>
      </c>
      <c r="S60" s="2">
        <f>10*LOG10((10^(Calculate[[#This Row],[Rx_echo_ds]]/10))-(10^((Masks[[#This Row],[connector_echo]]+Calculate[[#This Row],[Tx_PSD_us]])/10))*EC_conector_ratio_ds)-Calculate[[#This Row],[EC_cancelation_ds]]</f>
        <v>-145.51654049288038</v>
      </c>
      <c r="T60" s="1">
        <f>(POWER(10,Calculate[[#This Row],[AFE_noise_us]]/10)+POWER(10,Calculate[[#This Row],[Echo_res_us]]/10))</f>
        <v>1.2807669283268588E-14</v>
      </c>
      <c r="U60" s="1">
        <f>(POWER(10,Calculate[[#This Row],[AFE_noise_ds]]/10)+POWER(10,Calculate[[#This Row],[Echo_res_ds]]/10))</f>
        <v>1.2807669283268588E-14</v>
      </c>
      <c r="V60" s="2">
        <f>10*LOG10(Calculate[[#This Row],[Linear_Noise_us]])</f>
        <v>-138.92529895197586</v>
      </c>
      <c r="W60" s="2">
        <f>10*LOG10(Calculate[[#This Row],[Linear_Noise_ds]])</f>
        <v>-138.92529895197586</v>
      </c>
      <c r="X60" s="2">
        <f>Calculate[[#This Row],[Rx_PSD_us]]-Calculate[[#This Row],[Noise_us]]</f>
        <v>25.395684510554361</v>
      </c>
      <c r="Y60" s="2">
        <f>Calculate[[#This Row],[Rx_PSD_ds]]-Calculate[[#This Row],[Noise_ds]]</f>
        <v>25.395684510554361</v>
      </c>
      <c r="Z60" s="2">
        <f>POWER(10,Calculate[[#This Row],[SNRdB_us]]/10)</f>
        <v>346.39247674131923</v>
      </c>
      <c r="AA60" s="2">
        <f>POWER(10,Calculate[[#This Row],[SNRdB_ds]]/10)</f>
        <v>346.39247674131923</v>
      </c>
      <c r="AB60" s="2">
        <f>-(0.002*Calculate[[#This Row],[Freq]]/1000000/2.5+0.68*(Calculate[[#This Row],[Freq]]/1000000/2.5)^0.45)</f>
        <v>-17.765015458113655</v>
      </c>
      <c r="AC60" s="2"/>
    </row>
    <row r="61" spans="1:32" x14ac:dyDescent="0.25">
      <c r="A61" s="33">
        <f t="shared" si="9"/>
        <v>2700000000</v>
      </c>
      <c r="B61" s="1">
        <f>Calculate[[#This Row],[Freq]]-A60</f>
        <v>45000000</v>
      </c>
      <c r="C61" s="1">
        <f>Channels!B61*cable_length</f>
        <v>-14.845086154921869</v>
      </c>
      <c r="D61" s="1">
        <f>Channels!C61*PCB_trace_length</f>
        <v>-0.97045210863167397</v>
      </c>
      <c r="E61" s="1">
        <f>Calculate[[#This Row],[IL_Cable]]+Calculate[[#This Row],[IL_PCB]]</f>
        <v>-15.815538263553544</v>
      </c>
      <c r="F61" s="2">
        <f>Masks!A61</f>
        <v>-97.893567185280162</v>
      </c>
      <c r="G61" s="2">
        <f>Masks!B61</f>
        <v>-97.893567185280162</v>
      </c>
      <c r="H61" s="2">
        <f>Calculate[[#This Row],[Tx_PSD_us]]+Calculate[[#This Row],[IL]]</f>
        <v>-113.70910544883371</v>
      </c>
      <c r="I61" s="2">
        <f>Calculate[[#This Row],[Tx_PSD_ds]]+Calculate[[#This Row],[IL]]</f>
        <v>-113.70910544883371</v>
      </c>
      <c r="J61" s="2">
        <f>Masks[[#This Row],[channel_echo]]</f>
        <v>-13.10792967961209</v>
      </c>
      <c r="K61" s="2">
        <f>Masks[[#This Row],[channel_echo]]</f>
        <v>-13.10792967961209</v>
      </c>
      <c r="L61" s="2">
        <f>Calculate[[#This Row],[Echo_transfer_us]]+Calculate[[#This Row],[Tx_PSD_ds]]</f>
        <v>-111.00149686489225</v>
      </c>
      <c r="M61" s="2">
        <f>Calculate[[#This Row],[Echo_transfer_ds]]+Calculate[[#This Row],[Tx_PSD_us]]</f>
        <v>-111.00149686489225</v>
      </c>
      <c r="N61" s="2">
        <f t="shared" si="5"/>
        <v>-140</v>
      </c>
      <c r="O61" s="2">
        <f t="shared" si="6"/>
        <v>-140</v>
      </c>
      <c r="P61" s="2">
        <f t="shared" si="7"/>
        <v>6</v>
      </c>
      <c r="Q61" s="2">
        <f t="shared" si="8"/>
        <v>6</v>
      </c>
      <c r="R61" s="2">
        <f>10*LOG10((10^(Calculate[[#This Row],[Rx_echo_us]]/10))-(10^((Masks[[#This Row],[connector_echo]]+Calculate[[#This Row],[Tx_PSD_ds]])/10))*EC_conector_ratio_us)-Calculate[[#This Row],[EC_cancelation_us]]</f>
        <v>-145.53438093195459</v>
      </c>
      <c r="S61" s="2">
        <f>10*LOG10((10^(Calculate[[#This Row],[Rx_echo_ds]]/10))-(10^((Masks[[#This Row],[connector_echo]]+Calculate[[#This Row],[Tx_PSD_us]])/10))*EC_conector_ratio_ds)-Calculate[[#This Row],[EC_cancelation_ds]]</f>
        <v>-145.53438093195459</v>
      </c>
      <c r="T61" s="1">
        <f>(POWER(10,Calculate[[#This Row],[AFE_noise_us]]/10)+POWER(10,Calculate[[#This Row],[Echo_res_us]]/10))</f>
        <v>1.2796159279614919E-14</v>
      </c>
      <c r="U61" s="1">
        <f>(POWER(10,Calculate[[#This Row],[AFE_noise_ds]]/10)+POWER(10,Calculate[[#This Row],[Echo_res_ds]]/10))</f>
        <v>1.2796159279614919E-14</v>
      </c>
      <c r="V61" s="2">
        <f>10*LOG10(Calculate[[#This Row],[Linear_Noise_us]])</f>
        <v>-138.92920362693329</v>
      </c>
      <c r="W61" s="2">
        <f>10*LOG10(Calculate[[#This Row],[Linear_Noise_ds]])</f>
        <v>-138.92920362693329</v>
      </c>
      <c r="X61" s="2">
        <f>Calculate[[#This Row],[Rx_PSD_us]]-Calculate[[#This Row],[Noise_us]]</f>
        <v>25.220098178099576</v>
      </c>
      <c r="Y61" s="2">
        <f>Calculate[[#This Row],[Rx_PSD_ds]]-Calculate[[#This Row],[Noise_ds]]</f>
        <v>25.220098178099576</v>
      </c>
      <c r="Z61" s="2">
        <f>POWER(10,Calculate[[#This Row],[SNRdB_us]]/10)</f>
        <v>332.66707359492318</v>
      </c>
      <c r="AA61" s="2">
        <f>POWER(10,Calculate[[#This Row],[SNRdB_ds]]/10)</f>
        <v>332.66707359492318</v>
      </c>
      <c r="AB61" s="2">
        <f>-(0.002*Calculate[[#This Row],[Freq]]/1000000/2.5+0.68*(Calculate[[#This Row],[Freq]]/1000000/2.5)^0.45)</f>
        <v>-17.919760115894938</v>
      </c>
      <c r="AC61" s="2"/>
    </row>
    <row r="62" spans="1:32" x14ac:dyDescent="0.25">
      <c r="A62" s="33">
        <f t="shared" si="9"/>
        <v>2745000000</v>
      </c>
      <c r="B62" s="1">
        <f>Calculate[[#This Row],[Freq]]-A61</f>
        <v>45000000</v>
      </c>
      <c r="C62" s="1">
        <f>Channels!B62*cable_length</f>
        <v>-14.991194310385065</v>
      </c>
      <c r="D62" s="1">
        <f>Channels!C62*PCB_trace_length</f>
        <v>-0.98514134847843371</v>
      </c>
      <c r="E62" s="1">
        <f>Calculate[[#This Row],[IL_Cable]]+Calculate[[#This Row],[IL_PCB]]</f>
        <v>-15.976335658863499</v>
      </c>
      <c r="F62" s="2">
        <f>Masks!A62</f>
        <v>-97.91172282594674</v>
      </c>
      <c r="G62" s="2">
        <f>Masks!B62</f>
        <v>-97.91172282594674</v>
      </c>
      <c r="H62" s="2">
        <f>Calculate[[#This Row],[Tx_PSD_us]]+Calculate[[#This Row],[IL]]</f>
        <v>-113.88805848481024</v>
      </c>
      <c r="I62" s="2">
        <f>Calculate[[#This Row],[Tx_PSD_ds]]+Calculate[[#This Row],[IL]]</f>
        <v>-113.88805848481024</v>
      </c>
      <c r="J62" s="2">
        <f>Masks[[#This Row],[channel_echo]]</f>
        <v>-13.040498186329222</v>
      </c>
      <c r="K62" s="2">
        <f>Masks[[#This Row],[channel_echo]]</f>
        <v>-13.040498186329222</v>
      </c>
      <c r="L62" s="2">
        <f>Calculate[[#This Row],[Echo_transfer_us]]+Calculate[[#This Row],[Tx_PSD_ds]]</f>
        <v>-110.95222101227596</v>
      </c>
      <c r="M62" s="2">
        <f>Calculate[[#This Row],[Echo_transfer_ds]]+Calculate[[#This Row],[Tx_PSD_us]]</f>
        <v>-110.95222101227596</v>
      </c>
      <c r="N62" s="2">
        <f t="shared" si="5"/>
        <v>-140</v>
      </c>
      <c r="O62" s="2">
        <f t="shared" si="6"/>
        <v>-140</v>
      </c>
      <c r="P62" s="2">
        <f t="shared" si="7"/>
        <v>6</v>
      </c>
      <c r="Q62" s="2">
        <f t="shared" si="8"/>
        <v>6</v>
      </c>
      <c r="R62" s="2">
        <f>10*LOG10((10^(Calculate[[#This Row],[Rx_echo_us]]/10))-(10^((Masks[[#This Row],[connector_echo]]+Calculate[[#This Row],[Tx_PSD_ds]])/10))*EC_conector_ratio_us)-Calculate[[#This Row],[EC_cancelation_us]]</f>
        <v>-145.55253657260266</v>
      </c>
      <c r="S62" s="2">
        <f>10*LOG10((10^(Calculate[[#This Row],[Rx_echo_ds]]/10))-(10^((Masks[[#This Row],[connector_echo]]+Calculate[[#This Row],[Tx_PSD_us]])/10))*EC_conector_ratio_ds)-Calculate[[#This Row],[EC_cancelation_ds]]</f>
        <v>-145.55253657260266</v>
      </c>
      <c r="T62" s="1">
        <f>(POWER(10,Calculate[[#This Row],[AFE_noise_us]]/10)+POWER(10,Calculate[[#This Row],[Echo_res_us]]/10))</f>
        <v>1.2784494361138549E-14</v>
      </c>
      <c r="U62" s="1">
        <f>(POWER(10,Calculate[[#This Row],[AFE_noise_ds]]/10)+POWER(10,Calculate[[#This Row],[Echo_res_ds]]/10))</f>
        <v>1.2784494361138549E-14</v>
      </c>
      <c r="V62" s="2">
        <f>10*LOG10(Calculate[[#This Row],[Linear_Noise_us]])</f>
        <v>-138.933164440561</v>
      </c>
      <c r="W62" s="2">
        <f>10*LOG10(Calculate[[#This Row],[Linear_Noise_ds]])</f>
        <v>-138.933164440561</v>
      </c>
      <c r="X62" s="2">
        <f>Calculate[[#This Row],[Rx_PSD_us]]-Calculate[[#This Row],[Noise_us]]</f>
        <v>25.045105955750756</v>
      </c>
      <c r="Y62" s="2">
        <f>Calculate[[#This Row],[Rx_PSD_ds]]-Calculate[[#This Row],[Noise_ds]]</f>
        <v>25.045105955750756</v>
      </c>
      <c r="Z62" s="2">
        <f>POWER(10,Calculate[[#This Row],[SNRdB_us]]/10)</f>
        <v>319.52923200853098</v>
      </c>
      <c r="AA62" s="2">
        <f>POWER(10,Calculate[[#This Row],[SNRdB_ds]]/10)</f>
        <v>319.52923200853098</v>
      </c>
      <c r="AB62" s="2">
        <f>-(0.002*Calculate[[#This Row],[Freq]]/1000000/2.5+0.68*(Calculate[[#This Row],[Freq]]/1000000/2.5)^0.45)</f>
        <v>-18.073421191022202</v>
      </c>
      <c r="AC62" s="2"/>
    </row>
    <row r="63" spans="1:32" x14ac:dyDescent="0.25">
      <c r="A63" s="33">
        <f t="shared" si="9"/>
        <v>2790000000</v>
      </c>
      <c r="B63" s="1">
        <f>Calculate[[#This Row],[Freq]]-A62</f>
        <v>45000000</v>
      </c>
      <c r="C63" s="1">
        <f>Channels!B63*cable_length</f>
        <v>-15.136482211569669</v>
      </c>
      <c r="D63" s="1">
        <f>Channels!C63*PCB_trace_length</f>
        <v>-0.9998185653556928</v>
      </c>
      <c r="E63" s="1">
        <f>Calculate[[#This Row],[IL_Cable]]+Calculate[[#This Row],[IL_PCB]]</f>
        <v>-16.136300776925363</v>
      </c>
      <c r="F63" s="2">
        <f>Masks!A63</f>
        <v>-97.930194474922601</v>
      </c>
      <c r="G63" s="2">
        <f>Masks!B63</f>
        <v>-97.930194474922601</v>
      </c>
      <c r="H63" s="2">
        <f>Calculate[[#This Row],[Tx_PSD_us]]+Calculate[[#This Row],[IL]]</f>
        <v>-114.06649525184797</v>
      </c>
      <c r="I63" s="2">
        <f>Calculate[[#This Row],[Tx_PSD_ds]]+Calculate[[#This Row],[IL]]</f>
        <v>-114.06649525184797</v>
      </c>
      <c r="J63" s="2">
        <f>Masks[[#This Row],[channel_echo]]</f>
        <v>-12.974097692340184</v>
      </c>
      <c r="K63" s="2">
        <f>Masks[[#This Row],[channel_echo]]</f>
        <v>-12.974097692340184</v>
      </c>
      <c r="L63" s="2">
        <f>Calculate[[#This Row],[Echo_transfer_us]]+Calculate[[#This Row],[Tx_PSD_ds]]</f>
        <v>-110.90429216726278</v>
      </c>
      <c r="M63" s="2">
        <f>Calculate[[#This Row],[Echo_transfer_ds]]+Calculate[[#This Row],[Tx_PSD_us]]</f>
        <v>-110.90429216726278</v>
      </c>
      <c r="N63" s="2">
        <f t="shared" si="5"/>
        <v>-140</v>
      </c>
      <c r="O63" s="2">
        <f t="shared" si="6"/>
        <v>-140</v>
      </c>
      <c r="P63" s="2">
        <f t="shared" si="7"/>
        <v>6</v>
      </c>
      <c r="Q63" s="2">
        <f t="shared" si="8"/>
        <v>6</v>
      </c>
      <c r="R63" s="2">
        <f>10*LOG10((10^(Calculate[[#This Row],[Rx_echo_us]]/10))-(10^((Masks[[#This Row],[connector_echo]]+Calculate[[#This Row],[Tx_PSD_ds]])/10))*EC_conector_ratio_us)-Calculate[[#This Row],[EC_cancelation_us]]</f>
        <v>-145.57100822158247</v>
      </c>
      <c r="S63" s="2">
        <f>10*LOG10((10^(Calculate[[#This Row],[Rx_echo_ds]]/10))-(10^((Masks[[#This Row],[connector_echo]]+Calculate[[#This Row],[Tx_PSD_us]])/10))*EC_conector_ratio_ds)-Calculate[[#This Row],[EC_cancelation_ds]]</f>
        <v>-145.57100822158247</v>
      </c>
      <c r="T63" s="1">
        <f>(POWER(10,Calculate[[#This Row],[AFE_noise_us]]/10)+POWER(10,Calculate[[#This Row],[Echo_res_us]]/10))</f>
        <v>1.2772676348683418E-14</v>
      </c>
      <c r="U63" s="1">
        <f>(POWER(10,Calculate[[#This Row],[AFE_noise_ds]]/10)+POWER(10,Calculate[[#This Row],[Echo_res_ds]]/10))</f>
        <v>1.2772676348683418E-14</v>
      </c>
      <c r="V63" s="2">
        <f>10*LOG10(Calculate[[#This Row],[Linear_Noise_us]])</f>
        <v>-138.93718092424803</v>
      </c>
      <c r="W63" s="2">
        <f>10*LOG10(Calculate[[#This Row],[Linear_Noise_ds]])</f>
        <v>-138.93718092424803</v>
      </c>
      <c r="X63" s="2">
        <f>Calculate[[#This Row],[Rx_PSD_us]]-Calculate[[#This Row],[Noise_us]]</f>
        <v>24.870685672400057</v>
      </c>
      <c r="Y63" s="2">
        <f>Calculate[[#This Row],[Rx_PSD_ds]]-Calculate[[#This Row],[Noise_ds]]</f>
        <v>24.870685672400057</v>
      </c>
      <c r="Z63" s="2">
        <f>POWER(10,Calculate[[#This Row],[SNRdB_us]]/10)</f>
        <v>306.95065696805716</v>
      </c>
      <c r="AA63" s="2">
        <f>POWER(10,Calculate[[#This Row],[SNRdB_ds]]/10)</f>
        <v>306.95065696805716</v>
      </c>
      <c r="AB63" s="2">
        <f>-(0.002*Calculate[[#This Row],[Freq]]/1000000/2.5+0.68*(Calculate[[#This Row],[Freq]]/1000000/2.5)^0.45)</f>
        <v>-18.226026095861801</v>
      </c>
      <c r="AC63" s="2"/>
    </row>
    <row r="64" spans="1:32" x14ac:dyDescent="0.25">
      <c r="A64" s="33">
        <f t="shared" si="9"/>
        <v>2835000000</v>
      </c>
      <c r="B64" s="1">
        <f>Calculate[[#This Row],[Freq]]-A63</f>
        <v>45000000</v>
      </c>
      <c r="C64" s="1">
        <f>Channels!B64*cable_length</f>
        <v>-15.280969625252791</v>
      </c>
      <c r="D64" s="1">
        <f>Channels!C64*PCB_trace_length</f>
        <v>-1.0144840489972136</v>
      </c>
      <c r="E64" s="1">
        <f>Calculate[[#This Row],[IL_Cable]]+Calculate[[#This Row],[IL_PCB]]</f>
        <v>-16.295453674250005</v>
      </c>
      <c r="F64" s="2">
        <f>Masks!A64</f>
        <v>-97.948982955587496</v>
      </c>
      <c r="G64" s="2">
        <f>Masks!B64</f>
        <v>-97.948982955587496</v>
      </c>
      <c r="H64" s="2">
        <f>Calculate[[#This Row],[Tx_PSD_us]]+Calculate[[#This Row],[IL]]</f>
        <v>-114.24443662983751</v>
      </c>
      <c r="I64" s="2">
        <f>Calculate[[#This Row],[Tx_PSD_ds]]+Calculate[[#This Row],[IL]]</f>
        <v>-114.24443662983751</v>
      </c>
      <c r="J64" s="2">
        <f>Masks[[#This Row],[channel_echo]]</f>
        <v>-12.908697144740195</v>
      </c>
      <c r="K64" s="2">
        <f>Masks[[#This Row],[channel_echo]]</f>
        <v>-12.908697144740195</v>
      </c>
      <c r="L64" s="2">
        <f>Calculate[[#This Row],[Echo_transfer_us]]+Calculate[[#This Row],[Tx_PSD_ds]]</f>
        <v>-110.85768010032768</v>
      </c>
      <c r="M64" s="2">
        <f>Calculate[[#This Row],[Echo_transfer_ds]]+Calculate[[#This Row],[Tx_PSD_us]]</f>
        <v>-110.85768010032768</v>
      </c>
      <c r="N64" s="2">
        <f t="shared" si="5"/>
        <v>-140</v>
      </c>
      <c r="O64" s="2">
        <f t="shared" si="6"/>
        <v>-140</v>
      </c>
      <c r="P64" s="2">
        <f t="shared" si="7"/>
        <v>6</v>
      </c>
      <c r="Q64" s="2">
        <f t="shared" si="8"/>
        <v>6</v>
      </c>
      <c r="R64" s="2">
        <f>10*LOG10((10^(Calculate[[#This Row],[Rx_echo_us]]/10))-(10^((Masks[[#This Row],[connector_echo]]+Calculate[[#This Row],[Tx_PSD_ds]])/10))*EC_conector_ratio_us)-Calculate[[#This Row],[EC_cancelation_us]]</f>
        <v>-145.58979670225966</v>
      </c>
      <c r="S64" s="2">
        <f>10*LOG10((10^(Calculate[[#This Row],[Rx_echo_ds]]/10))-(10^((Masks[[#This Row],[connector_echo]]+Calculate[[#This Row],[Tx_PSD_us]])/10))*EC_conector_ratio_ds)-Calculate[[#This Row],[EC_cancelation_ds]]</f>
        <v>-145.58979670225966</v>
      </c>
      <c r="T64" s="1">
        <f>(POWER(10,Calculate[[#This Row],[AFE_noise_us]]/10)+POWER(10,Calculate[[#This Row],[Echo_res_us]]/10))</f>
        <v>1.276070708475061E-14</v>
      </c>
      <c r="U64" s="1">
        <f>(POWER(10,Calculate[[#This Row],[AFE_noise_ds]]/10)+POWER(10,Calculate[[#This Row],[Echo_res_ds]]/10))</f>
        <v>1.276070708475061E-14</v>
      </c>
      <c r="V64" s="2">
        <f>10*LOG10(Calculate[[#This Row],[Linear_Noise_us]])</f>
        <v>-138.94125260215378</v>
      </c>
      <c r="W64" s="2">
        <f>10*LOG10(Calculate[[#This Row],[Linear_Noise_ds]])</f>
        <v>-138.94125260215378</v>
      </c>
      <c r="X64" s="2">
        <f>Calculate[[#This Row],[Rx_PSD_us]]-Calculate[[#This Row],[Noise_us]]</f>
        <v>24.696815972316273</v>
      </c>
      <c r="Y64" s="2">
        <f>Calculate[[#This Row],[Rx_PSD_ds]]-Calculate[[#This Row],[Noise_ds]]</f>
        <v>24.696815972316273</v>
      </c>
      <c r="Z64" s="2">
        <f>POWER(10,Calculate[[#This Row],[SNRdB_us]]/10)</f>
        <v>294.90463421475295</v>
      </c>
      <c r="AA64" s="2">
        <f>POWER(10,Calculate[[#This Row],[SNRdB_ds]]/10)</f>
        <v>294.90463421475295</v>
      </c>
      <c r="AB64" s="2">
        <f>-(0.002*Calculate[[#This Row],[Freq]]/1000000/2.5+0.68*(Calculate[[#This Row],[Freq]]/1000000/2.5)^0.45)</f>
        <v>-18.377601120187851</v>
      </c>
      <c r="AC64" s="2"/>
    </row>
    <row r="65" spans="1:29" x14ac:dyDescent="0.25">
      <c r="A65" s="33">
        <f t="shared" si="9"/>
        <v>2880000000</v>
      </c>
      <c r="B65" s="1">
        <f>Calculate[[#This Row],[Freq]]-A64</f>
        <v>45000000</v>
      </c>
      <c r="C65" s="1">
        <f>Channels!B65*cable_length</f>
        <v>-15.424675536828801</v>
      </c>
      <c r="D65" s="1">
        <f>Channels!C65*PCB_trace_length</f>
        <v>-1.0291380776835533</v>
      </c>
      <c r="E65" s="1">
        <f>Calculate[[#This Row],[IL_Cable]]+Calculate[[#This Row],[IL_PCB]]</f>
        <v>-16.453813614512352</v>
      </c>
      <c r="F65" s="2">
        <f>Masks!A65</f>
        <v>-97.96808910818352</v>
      </c>
      <c r="G65" s="2">
        <f>Masks!B65</f>
        <v>-97.96808910818352</v>
      </c>
      <c r="H65" s="2">
        <f>Calculate[[#This Row],[Tx_PSD_us]]+Calculate[[#This Row],[IL]]</f>
        <v>-114.42190272269588</v>
      </c>
      <c r="I65" s="2">
        <f>Calculate[[#This Row],[Tx_PSD_ds]]+Calculate[[#This Row],[IL]]</f>
        <v>-114.42190272269588</v>
      </c>
      <c r="J65" s="2">
        <f>Masks[[#This Row],[channel_echo]]</f>
        <v>-12.844266872769994</v>
      </c>
      <c r="K65" s="2">
        <f>Masks[[#This Row],[channel_echo]]</f>
        <v>-12.844266872769994</v>
      </c>
      <c r="L65" s="2">
        <f>Calculate[[#This Row],[Echo_transfer_us]]+Calculate[[#This Row],[Tx_PSD_ds]]</f>
        <v>-110.81235598095351</v>
      </c>
      <c r="M65" s="2">
        <f>Calculate[[#This Row],[Echo_transfer_ds]]+Calculate[[#This Row],[Tx_PSD_us]]</f>
        <v>-110.81235598095351</v>
      </c>
      <c r="N65" s="2">
        <f t="shared" si="5"/>
        <v>-140</v>
      </c>
      <c r="O65" s="2">
        <f t="shared" si="6"/>
        <v>-140</v>
      </c>
      <c r="P65" s="2">
        <f t="shared" si="7"/>
        <v>6</v>
      </c>
      <c r="Q65" s="2">
        <f t="shared" si="8"/>
        <v>6</v>
      </c>
      <c r="R65" s="2">
        <f>10*LOG10((10^(Calculate[[#This Row],[Rx_echo_us]]/10))-(10^((Masks[[#This Row],[connector_echo]]+Calculate[[#This Row],[Tx_PSD_ds]])/10))*EC_conector_ratio_us)-Calculate[[#This Row],[EC_cancelation_us]]</f>
        <v>-145.6089028548345</v>
      </c>
      <c r="S65" s="2">
        <f>10*LOG10((10^(Calculate[[#This Row],[Rx_echo_ds]]/10))-(10^((Masks[[#This Row],[connector_echo]]+Calculate[[#This Row],[Tx_PSD_us]])/10))*EC_conector_ratio_ds)-Calculate[[#This Row],[EC_cancelation_ds]]</f>
        <v>-145.6089028548345</v>
      </c>
      <c r="T65" s="1">
        <f>(POWER(10,Calculate[[#This Row],[AFE_noise_us]]/10)+POWER(10,Calculate[[#This Row],[Echo_res_us]]/10))</f>
        <v>1.2748588433080135E-14</v>
      </c>
      <c r="U65" s="1">
        <f>(POWER(10,Calculate[[#This Row],[AFE_noise_ds]]/10)+POWER(10,Calculate[[#This Row],[Echo_res_ds]]/10))</f>
        <v>1.2748588433080135E-14</v>
      </c>
      <c r="V65" s="2">
        <f>10*LOG10(Calculate[[#This Row],[Linear_Noise_us]])</f>
        <v>-138.94537899125052</v>
      </c>
      <c r="W65" s="2">
        <f>10*LOG10(Calculate[[#This Row],[Linear_Noise_ds]])</f>
        <v>-138.94537899125052</v>
      </c>
      <c r="X65" s="2">
        <f>Calculate[[#This Row],[Rx_PSD_us]]-Calculate[[#This Row],[Noise_us]]</f>
        <v>24.523476268554646</v>
      </c>
      <c r="Y65" s="2">
        <f>Calculate[[#This Row],[Rx_PSD_ds]]-Calculate[[#This Row],[Noise_ds]]</f>
        <v>24.523476268554646</v>
      </c>
      <c r="Z65" s="2">
        <f>POWER(10,Calculate[[#This Row],[SNRdB_us]]/10)</f>
        <v>283.36592636697878</v>
      </c>
      <c r="AA65" s="2">
        <f>POWER(10,Calculate[[#This Row],[SNRdB_ds]]/10)</f>
        <v>283.36592636697878</v>
      </c>
      <c r="AB65" s="2">
        <f>-(0.002*Calculate[[#This Row],[Freq]]/1000000/2.5+0.68*(Calculate[[#This Row],[Freq]]/1000000/2.5)^0.45)</f>
        <v>-18.528171494173424</v>
      </c>
      <c r="AC65" s="2"/>
    </row>
    <row r="66" spans="1:29" x14ac:dyDescent="0.25">
      <c r="A66" s="33">
        <f t="shared" si="9"/>
        <v>2925000000</v>
      </c>
      <c r="B66" s="1">
        <f>Calculate[[#This Row],[Freq]]-A65</f>
        <v>45000000</v>
      </c>
      <c r="C66" s="1">
        <f>Channels!B66*cable_length</f>
        <v>-15.567618192880904</v>
      </c>
      <c r="D66" s="1">
        <f>Channels!C66*PCB_trace_length</f>
        <v>-1.0437809188660605</v>
      </c>
      <c r="E66" s="1">
        <f>Calculate[[#This Row],[IL_Cable]]+Calculate[[#This Row],[IL_PCB]]</f>
        <v>-16.611399111746962</v>
      </c>
      <c r="F66" s="2">
        <f>Masks!A66</f>
        <v>-97.987513790003149</v>
      </c>
      <c r="G66" s="2">
        <f>Masks!B66</f>
        <v>-97.987513790003149</v>
      </c>
      <c r="H66" s="2">
        <f>Calculate[[#This Row],[Tx_PSD_us]]+Calculate[[#This Row],[IL]]</f>
        <v>-114.59891290175011</v>
      </c>
      <c r="I66" s="2">
        <f>Calculate[[#This Row],[Tx_PSD_ds]]+Calculate[[#This Row],[IL]]</f>
        <v>-114.59891290175011</v>
      </c>
      <c r="J66" s="2">
        <f>Masks[[#This Row],[channel_echo]]</f>
        <v>-12.78077850698898</v>
      </c>
      <c r="K66" s="2">
        <f>Masks[[#This Row],[channel_echo]]</f>
        <v>-12.78077850698898</v>
      </c>
      <c r="L66" s="2">
        <f>Calculate[[#This Row],[Echo_transfer_us]]+Calculate[[#This Row],[Tx_PSD_ds]]</f>
        <v>-110.76829229699213</v>
      </c>
      <c r="M66" s="2">
        <f>Calculate[[#This Row],[Echo_transfer_ds]]+Calculate[[#This Row],[Tx_PSD_us]]</f>
        <v>-110.76829229699213</v>
      </c>
      <c r="N66" s="2">
        <f t="shared" ref="N66:N97" si="10">AFE_noise_us</f>
        <v>-140</v>
      </c>
      <c r="O66" s="2">
        <f t="shared" ref="O66:O97" si="11">AFE_noise_ds</f>
        <v>-140</v>
      </c>
      <c r="P66" s="2">
        <f t="shared" ref="P66:P97" si="12">EC_cancel_us</f>
        <v>6</v>
      </c>
      <c r="Q66" s="2">
        <f t="shared" ref="Q66:Q97" si="13">EC_cancel_ds</f>
        <v>6</v>
      </c>
      <c r="R66" s="2">
        <f>10*LOG10((10^(Calculate[[#This Row],[Rx_echo_us]]/10))-(10^((Masks[[#This Row],[connector_echo]]+Calculate[[#This Row],[Tx_PSD_ds]])/10))*EC_conector_ratio_us)-Calculate[[#This Row],[EC_cancelation_us]]</f>
        <v>-145.62832753667536</v>
      </c>
      <c r="S66" s="2">
        <f>10*LOG10((10^(Calculate[[#This Row],[Rx_echo_ds]]/10))-(10^((Masks[[#This Row],[connector_echo]]+Calculate[[#This Row],[Tx_PSD_us]])/10))*EC_conector_ratio_ds)-Calculate[[#This Row],[EC_cancelation_ds]]</f>
        <v>-145.62832753667536</v>
      </c>
      <c r="T66" s="1">
        <f>(POWER(10,Calculate[[#This Row],[AFE_noise_us]]/10)+POWER(10,Calculate[[#This Row],[Echo_res_us]]/10))</f>
        <v>1.2736322278165028E-14</v>
      </c>
      <c r="U66" s="1">
        <f>(POWER(10,Calculate[[#This Row],[AFE_noise_ds]]/10)+POWER(10,Calculate[[#This Row],[Echo_res_ds]]/10))</f>
        <v>1.2736322278165028E-14</v>
      </c>
      <c r="V66" s="2">
        <f>10*LOG10(Calculate[[#This Row],[Linear_Noise_us]])</f>
        <v>-138.94955960138921</v>
      </c>
      <c r="W66" s="2">
        <f>10*LOG10(Calculate[[#This Row],[Linear_Noise_ds]])</f>
        <v>-138.94955960138921</v>
      </c>
      <c r="X66" s="2">
        <f>Calculate[[#This Row],[Rx_PSD_us]]-Calculate[[#This Row],[Noise_us]]</f>
        <v>24.3506466996391</v>
      </c>
      <c r="Y66" s="2">
        <f>Calculate[[#This Row],[Rx_PSD_ds]]-Calculate[[#This Row],[Noise_ds]]</f>
        <v>24.3506466996391</v>
      </c>
      <c r="Z66" s="2">
        <f>POWER(10,Calculate[[#This Row],[SNRdB_us]]/10)</f>
        <v>272.31067705301518</v>
      </c>
      <c r="AA66" s="2">
        <f>POWER(10,Calculate[[#This Row],[SNRdB_ds]]/10)</f>
        <v>272.31067705301518</v>
      </c>
      <c r="AB66" s="2">
        <f>-(0.002*Calculate[[#This Row],[Freq]]/1000000/2.5+0.68*(Calculate[[#This Row],[Freq]]/1000000/2.5)^0.45)</f>
        <v>-18.677761446921799</v>
      </c>
      <c r="AC66" s="2"/>
    </row>
    <row r="67" spans="1:29" x14ac:dyDescent="0.25">
      <c r="A67" s="33">
        <f t="shared" ref="A67:A98" si="14">f_step+A66</f>
        <v>2970000000</v>
      </c>
      <c r="B67" s="1">
        <f>Calculate[[#This Row],[Freq]]-A66</f>
        <v>45000000</v>
      </c>
      <c r="C67" s="1">
        <f>Channels!B67*cable_length</f>
        <v>-15.709815140816211</v>
      </c>
      <c r="D67" s="1">
        <f>Channels!C67*PCB_trace_length</f>
        <v>-1.0584128297478324</v>
      </c>
      <c r="E67" s="1">
        <f>Calculate[[#This Row],[IL_Cable]]+Calculate[[#This Row],[IL_PCB]]</f>
        <v>-16.768227970564045</v>
      </c>
      <c r="F67" s="2">
        <f>Masks!A67</f>
        <v>-98.007257875581942</v>
      </c>
      <c r="G67" s="2">
        <f>Masks!B67</f>
        <v>-98.007257875581942</v>
      </c>
      <c r="H67" s="2">
        <f>Calculate[[#This Row],[Tx_PSD_us]]+Calculate[[#This Row],[IL]]</f>
        <v>-114.77548584614598</v>
      </c>
      <c r="I67" s="2">
        <f>Calculate[[#This Row],[Tx_PSD_ds]]+Calculate[[#This Row],[IL]]</f>
        <v>-114.77548584614598</v>
      </c>
      <c r="J67" s="2">
        <f>Masks[[#This Row],[channel_echo]]</f>
        <v>-12.71820490427169</v>
      </c>
      <c r="K67" s="2">
        <f>Masks[[#This Row],[channel_echo]]</f>
        <v>-12.71820490427169</v>
      </c>
      <c r="L67" s="2">
        <f>Calculate[[#This Row],[Echo_transfer_us]]+Calculate[[#This Row],[Tx_PSD_ds]]</f>
        <v>-110.72546277985363</v>
      </c>
      <c r="M67" s="2">
        <f>Calculate[[#This Row],[Echo_transfer_ds]]+Calculate[[#This Row],[Tx_PSD_us]]</f>
        <v>-110.72546277985363</v>
      </c>
      <c r="N67" s="2">
        <f t="shared" si="10"/>
        <v>-140</v>
      </c>
      <c r="O67" s="2">
        <f t="shared" si="11"/>
        <v>-140</v>
      </c>
      <c r="P67" s="2">
        <f t="shared" si="12"/>
        <v>6</v>
      </c>
      <c r="Q67" s="2">
        <f t="shared" si="13"/>
        <v>6</v>
      </c>
      <c r="R67" s="2">
        <f>10*LOG10((10^(Calculate[[#This Row],[Rx_echo_us]]/10))-(10^((Masks[[#This Row],[connector_echo]]+Calculate[[#This Row],[Tx_PSD_ds]])/10))*EC_conector_ratio_us)-Calculate[[#This Row],[EC_cancelation_us]]</f>
        <v>-145.64807162225352</v>
      </c>
      <c r="S67" s="2">
        <f>10*LOG10((10^(Calculate[[#This Row],[Rx_echo_ds]]/10))-(10^((Masks[[#This Row],[connector_echo]]+Calculate[[#This Row],[Tx_PSD_us]])/10))*EC_conector_ratio_ds)-Calculate[[#This Row],[EC_cancelation_ds]]</f>
        <v>-145.64807162225352</v>
      </c>
      <c r="T67" s="1">
        <f>(POWER(10,Calculate[[#This Row],[AFE_noise_us]]/10)+POWER(10,Calculate[[#This Row],[Echo_res_us]]/10))</f>
        <v>1.2723910525016841E-14</v>
      </c>
      <c r="U67" s="1">
        <f>(POWER(10,Calculate[[#This Row],[AFE_noise_ds]]/10)+POWER(10,Calculate[[#This Row],[Echo_res_ds]]/10))</f>
        <v>1.2723910525016841E-14</v>
      </c>
      <c r="V67" s="2">
        <f>10*LOG10(Calculate[[#This Row],[Linear_Noise_us]])</f>
        <v>-138.95379393527901</v>
      </c>
      <c r="W67" s="2">
        <f>10*LOG10(Calculate[[#This Row],[Linear_Noise_ds]])</f>
        <v>-138.95379393527901</v>
      </c>
      <c r="X67" s="2">
        <f>Calculate[[#This Row],[Rx_PSD_us]]-Calculate[[#This Row],[Noise_us]]</f>
        <v>24.178308089133026</v>
      </c>
      <c r="Y67" s="2">
        <f>Calculate[[#This Row],[Rx_PSD_ds]]-Calculate[[#This Row],[Noise_ds]]</f>
        <v>24.178308089133026</v>
      </c>
      <c r="Z67" s="2">
        <f>POWER(10,Calculate[[#This Row],[SNRdB_us]]/10)</f>
        <v>261.71632233220339</v>
      </c>
      <c r="AA67" s="2">
        <f>POWER(10,Calculate[[#This Row],[SNRdB_ds]]/10)</f>
        <v>261.71632233220339</v>
      </c>
      <c r="AB67" s="2">
        <f>-(0.002*Calculate[[#This Row],[Freq]]/1000000/2.5+0.68*(Calculate[[#This Row],[Freq]]/1000000/2.5)^0.45)</f>
        <v>-18.826394260917212</v>
      </c>
      <c r="AC67" s="2"/>
    </row>
    <row r="68" spans="1:29" x14ac:dyDescent="0.25">
      <c r="A68" s="33">
        <f t="shared" si="14"/>
        <v>3015000000</v>
      </c>
      <c r="B68" s="1">
        <f>Calculate[[#This Row],[Freq]]-A67</f>
        <v>45000000</v>
      </c>
      <c r="C68" s="1">
        <f>Channels!B68*cable_length</f>
        <v>-15.851283265808258</v>
      </c>
      <c r="D68" s="1">
        <f>Channels!C68*PCB_trace_length</f>
        <v>-1.0730340578252018</v>
      </c>
      <c r="E68" s="1">
        <f>Calculate[[#This Row],[IL_Cable]]+Calculate[[#This Row],[IL_PCB]]</f>
        <v>-16.92431732363346</v>
      </c>
      <c r="F68" s="2">
        <f>Masks!A68</f>
        <v>-98.027322256896028</v>
      </c>
      <c r="G68" s="2">
        <f>Masks!B68</f>
        <v>-98.027322256896028</v>
      </c>
      <c r="H68" s="2">
        <f>Calculate[[#This Row],[Tx_PSD_us]]+Calculate[[#This Row],[IL]]</f>
        <v>-114.95163958052949</v>
      </c>
      <c r="I68" s="2">
        <f>Calculate[[#This Row],[Tx_PSD_ds]]+Calculate[[#This Row],[IL]]</f>
        <v>-114.95163958052949</v>
      </c>
      <c r="J68" s="2">
        <f>Masks[[#This Row],[channel_echo]]</f>
        <v>-12.656520078131264</v>
      </c>
      <c r="K68" s="2">
        <f>Masks[[#This Row],[channel_echo]]</f>
        <v>-12.656520078131264</v>
      </c>
      <c r="L68" s="2">
        <f>Calculate[[#This Row],[Echo_transfer_us]]+Calculate[[#This Row],[Tx_PSD_ds]]</f>
        <v>-110.68384233502729</v>
      </c>
      <c r="M68" s="2">
        <f>Calculate[[#This Row],[Echo_transfer_ds]]+Calculate[[#This Row],[Tx_PSD_us]]</f>
        <v>-110.68384233502729</v>
      </c>
      <c r="N68" s="2">
        <f t="shared" si="10"/>
        <v>-140</v>
      </c>
      <c r="O68" s="2">
        <f t="shared" si="11"/>
        <v>-140</v>
      </c>
      <c r="P68" s="2">
        <f t="shared" si="12"/>
        <v>6</v>
      </c>
      <c r="Q68" s="2">
        <f t="shared" si="13"/>
        <v>6</v>
      </c>
      <c r="R68" s="2">
        <f>10*LOG10((10^(Calculate[[#This Row],[Rx_echo_us]]/10))-(10^((Masks[[#This Row],[connector_echo]]+Calculate[[#This Row],[Tx_PSD_ds]])/10))*EC_conector_ratio_us)-Calculate[[#This Row],[EC_cancelation_us]]</f>
        <v>-145.66813600356548</v>
      </c>
      <c r="S68" s="2">
        <f>10*LOG10((10^(Calculate[[#This Row],[Rx_echo_ds]]/10))-(10^((Masks[[#This Row],[connector_echo]]+Calculate[[#This Row],[Tx_PSD_us]])/10))*EC_conector_ratio_ds)-Calculate[[#This Row],[EC_cancelation_ds]]</f>
        <v>-145.66813600356548</v>
      </c>
      <c r="T68" s="1">
        <f>(POWER(10,Calculate[[#This Row],[AFE_noise_us]]/10)+POWER(10,Calculate[[#This Row],[Echo_res_us]]/10))</f>
        <v>1.2711355098621504E-14</v>
      </c>
      <c r="U68" s="1">
        <f>(POWER(10,Calculate[[#This Row],[AFE_noise_ds]]/10)+POWER(10,Calculate[[#This Row],[Echo_res_ds]]/10))</f>
        <v>1.2711355098621504E-14</v>
      </c>
      <c r="V68" s="2">
        <f>10*LOG10(Calculate[[#This Row],[Linear_Noise_us]])</f>
        <v>-138.95808148857213</v>
      </c>
      <c r="W68" s="2">
        <f>10*LOG10(Calculate[[#This Row],[Linear_Noise_ds]])</f>
        <v>-138.95808148857213</v>
      </c>
      <c r="X68" s="2">
        <f>Calculate[[#This Row],[Rx_PSD_us]]-Calculate[[#This Row],[Noise_us]]</f>
        <v>24.006441908042646</v>
      </c>
      <c r="Y68" s="2">
        <f>Calculate[[#This Row],[Rx_PSD_ds]]-Calculate[[#This Row],[Noise_ds]]</f>
        <v>24.006441908042646</v>
      </c>
      <c r="Z68" s="2">
        <f>POWER(10,Calculate[[#This Row],[SNRdB_us]]/10)</f>
        <v>251.5615087742016</v>
      </c>
      <c r="AA68" s="2">
        <f>POWER(10,Calculate[[#This Row],[SNRdB_ds]]/10)</f>
        <v>251.5615087742016</v>
      </c>
      <c r="AB68" s="2">
        <f>-(0.002*Calculate[[#This Row],[Freq]]/1000000/2.5+0.68*(Calculate[[#This Row],[Freq]]/1000000/2.5)^0.45)</f>
        <v>-18.974092322736688</v>
      </c>
      <c r="AC68" s="2"/>
    </row>
    <row r="69" spans="1:29" x14ac:dyDescent="0.25">
      <c r="A69" s="33">
        <f t="shared" si="14"/>
        <v>3060000000</v>
      </c>
      <c r="B69" s="1">
        <f>Calculate[[#This Row],[Freq]]-A68</f>
        <v>45000000</v>
      </c>
      <c r="C69" s="1">
        <f>Channels!B69*cable_length</f>
        <v>-15.992038825267043</v>
      </c>
      <c r="D69" s="1">
        <f>Channels!C69*PCB_trace_length</f>
        <v>-1.087644841392988</v>
      </c>
      <c r="E69" s="1">
        <f>Calculate[[#This Row],[IL_Cable]]+Calculate[[#This Row],[IL_PCB]]</f>
        <v>-17.079683666660031</v>
      </c>
      <c r="F69" s="2">
        <f>Masks!A69</f>
        <v>-98.04770784356468</v>
      </c>
      <c r="G69" s="2">
        <f>Masks!B69</f>
        <v>-98.04770784356468</v>
      </c>
      <c r="H69" s="2">
        <f>Calculate[[#This Row],[Tx_PSD_us]]+Calculate[[#This Row],[IL]]</f>
        <v>-115.12739151022471</v>
      </c>
      <c r="I69" s="2">
        <f>Calculate[[#This Row],[Tx_PSD_ds]]+Calculate[[#This Row],[IL]]</f>
        <v>-115.12739151022471</v>
      </c>
      <c r="J69" s="2">
        <f>Masks[[#This Row],[channel_echo]]</f>
        <v>-12.595699133922317</v>
      </c>
      <c r="K69" s="2">
        <f>Masks[[#This Row],[channel_echo]]</f>
        <v>-12.595699133922317</v>
      </c>
      <c r="L69" s="2">
        <f>Calculate[[#This Row],[Echo_transfer_us]]+Calculate[[#This Row],[Tx_PSD_ds]]</f>
        <v>-110.64340697748699</v>
      </c>
      <c r="M69" s="2">
        <f>Calculate[[#This Row],[Echo_transfer_ds]]+Calculate[[#This Row],[Tx_PSD_us]]</f>
        <v>-110.64340697748699</v>
      </c>
      <c r="N69" s="2">
        <f t="shared" si="10"/>
        <v>-140</v>
      </c>
      <c r="O69" s="2">
        <f t="shared" si="11"/>
        <v>-140</v>
      </c>
      <c r="P69" s="2">
        <f t="shared" si="12"/>
        <v>6</v>
      </c>
      <c r="Q69" s="2">
        <f t="shared" si="13"/>
        <v>6</v>
      </c>
      <c r="R69" s="2">
        <f>10*LOG10((10^(Calculate[[#This Row],[Rx_echo_us]]/10))-(10^((Masks[[#This Row],[connector_echo]]+Calculate[[#This Row],[Tx_PSD_ds]])/10))*EC_conector_ratio_us)-Calculate[[#This Row],[EC_cancelation_us]]</f>
        <v>-145.68852159022072</v>
      </c>
      <c r="S69" s="2">
        <f>10*LOG10((10^(Calculate[[#This Row],[Rx_echo_ds]]/10))-(10^((Masks[[#This Row],[connector_echo]]+Calculate[[#This Row],[Tx_PSD_us]])/10))*EC_conector_ratio_ds)-Calculate[[#This Row],[EC_cancelation_ds]]</f>
        <v>-145.68852159022072</v>
      </c>
      <c r="T69" s="1">
        <f>(POWER(10,Calculate[[#This Row],[AFE_noise_us]]/10)+POWER(10,Calculate[[#This Row],[Echo_res_us]]/10))</f>
        <v>1.2698657943605999E-14</v>
      </c>
      <c r="U69" s="1">
        <f>(POWER(10,Calculate[[#This Row],[AFE_noise_ds]]/10)+POWER(10,Calculate[[#This Row],[Echo_res_ds]]/10))</f>
        <v>1.2698657943605999E-14</v>
      </c>
      <c r="V69" s="2">
        <f>10*LOG10(Calculate[[#This Row],[Linear_Noise_us]])</f>
        <v>-138.96242174987691</v>
      </c>
      <c r="W69" s="2">
        <f>10*LOG10(Calculate[[#This Row],[Linear_Noise_ds]])</f>
        <v>-138.96242174987691</v>
      </c>
      <c r="X69" s="2">
        <f>Calculate[[#This Row],[Rx_PSD_us]]-Calculate[[#This Row],[Noise_us]]</f>
        <v>23.835030239652198</v>
      </c>
      <c r="Y69" s="2">
        <f>Calculate[[#This Row],[Rx_PSD_ds]]-Calculate[[#This Row],[Noise_ds]]</f>
        <v>23.835030239652198</v>
      </c>
      <c r="Z69" s="2">
        <f>POWER(10,Calculate[[#This Row],[SNRdB_us]]/10)</f>
        <v>241.82601760656178</v>
      </c>
      <c r="AA69" s="2">
        <f>POWER(10,Calculate[[#This Row],[SNRdB_ds]]/10)</f>
        <v>241.82601760656178</v>
      </c>
      <c r="AB69" s="2">
        <f>-(0.002*Calculate[[#This Row],[Freq]]/1000000/2.5+0.68*(Calculate[[#This Row],[Freq]]/1000000/2.5)^0.45)</f>
        <v>-19.120877170331664</v>
      </c>
      <c r="AC69" s="2"/>
    </row>
    <row r="70" spans="1:29" x14ac:dyDescent="0.25">
      <c r="A70" s="33">
        <f t="shared" si="14"/>
        <v>3105000000</v>
      </c>
      <c r="B70" s="1">
        <f>Calculate[[#This Row],[Freq]]-A69</f>
        <v>45000000</v>
      </c>
      <c r="C70" s="1">
        <f>Channels!B70*cable_length</f>
        <v>-16.132097481036062</v>
      </c>
      <c r="D70" s="1">
        <f>Channels!C70*PCB_trace_length</f>
        <v>-1.1022454100164261</v>
      </c>
      <c r="E70" s="1">
        <f>Calculate[[#This Row],[IL_Cable]]+Calculate[[#This Row],[IL_PCB]]</f>
        <v>-17.234342891052489</v>
      </c>
      <c r="F70" s="2">
        <f>Masks!A70</f>
        <v>-98.068415563057783</v>
      </c>
      <c r="G70" s="2">
        <f>Masks!B70</f>
        <v>-98.068415563057783</v>
      </c>
      <c r="H70" s="2">
        <f>Calculate[[#This Row],[Tx_PSD_us]]+Calculate[[#This Row],[IL]]</f>
        <v>-115.30275845411028</v>
      </c>
      <c r="I70" s="2">
        <f>Calculate[[#This Row],[Tx_PSD_ds]]+Calculate[[#This Row],[IL]]</f>
        <v>-115.30275845411028</v>
      </c>
      <c r="J70" s="2">
        <f>Masks[[#This Row],[channel_echo]]</f>
        <v>-12.535718208518743</v>
      </c>
      <c r="K70" s="2">
        <f>Masks[[#This Row],[channel_echo]]</f>
        <v>-12.535718208518743</v>
      </c>
      <c r="L70" s="2">
        <f>Calculate[[#This Row],[Echo_transfer_us]]+Calculate[[#This Row],[Tx_PSD_ds]]</f>
        <v>-110.60413377157653</v>
      </c>
      <c r="M70" s="2">
        <f>Calculate[[#This Row],[Echo_transfer_ds]]+Calculate[[#This Row],[Tx_PSD_us]]</f>
        <v>-110.60413377157653</v>
      </c>
      <c r="N70" s="2">
        <f t="shared" si="10"/>
        <v>-140</v>
      </c>
      <c r="O70" s="2">
        <f t="shared" si="11"/>
        <v>-140</v>
      </c>
      <c r="P70" s="2">
        <f t="shared" si="12"/>
        <v>6</v>
      </c>
      <c r="Q70" s="2">
        <f t="shared" si="13"/>
        <v>6</v>
      </c>
      <c r="R70" s="2">
        <f>10*LOG10((10^(Calculate[[#This Row],[Rx_echo_us]]/10))-(10^((Masks[[#This Row],[connector_echo]]+Calculate[[#This Row],[Tx_PSD_ds]])/10))*EC_conector_ratio_us)-Calculate[[#This Row],[EC_cancelation_us]]</f>
        <v>-145.70922930972441</v>
      </c>
      <c r="S70" s="2">
        <f>10*LOG10((10^(Calculate[[#This Row],[Rx_echo_ds]]/10))-(10^((Masks[[#This Row],[connector_echo]]+Calculate[[#This Row],[Tx_PSD_us]])/10))*EC_conector_ratio_ds)-Calculate[[#This Row],[EC_cancelation_ds]]</f>
        <v>-145.70922930972441</v>
      </c>
      <c r="T70" s="1">
        <f>(POWER(10,Calculate[[#This Row],[AFE_noise_us]]/10)+POWER(10,Calculate[[#This Row],[Echo_res_us]]/10))</f>
        <v>1.268582102378204E-14</v>
      </c>
      <c r="U70" s="1">
        <f>(POWER(10,Calculate[[#This Row],[AFE_noise_ds]]/10)+POWER(10,Calculate[[#This Row],[Echo_res_ds]]/10))</f>
        <v>1.268582102378204E-14</v>
      </c>
      <c r="V70" s="2">
        <f>10*LOG10(Calculate[[#This Row],[Linear_Noise_us]])</f>
        <v>-138.96681420081245</v>
      </c>
      <c r="W70" s="2">
        <f>10*LOG10(Calculate[[#This Row],[Linear_Noise_ds]])</f>
        <v>-138.96681420081245</v>
      </c>
      <c r="X70" s="2">
        <f>Calculate[[#This Row],[Rx_PSD_us]]-Calculate[[#This Row],[Noise_us]]</f>
        <v>23.664055746702175</v>
      </c>
      <c r="Y70" s="2">
        <f>Calculate[[#This Row],[Rx_PSD_ds]]-Calculate[[#This Row],[Noise_ds]]</f>
        <v>23.664055746702175</v>
      </c>
      <c r="Z70" s="2">
        <f>POWER(10,Calculate[[#This Row],[SNRdB_us]]/10)</f>
        <v>232.4906944170292</v>
      </c>
      <c r="AA70" s="2">
        <f>POWER(10,Calculate[[#This Row],[SNRdB_ds]]/10)</f>
        <v>232.4906944170292</v>
      </c>
      <c r="AB70" s="2">
        <f>-(0.002*Calculate[[#This Row],[Freq]]/1000000/2.5+0.68*(Calculate[[#This Row],[Freq]]/1000000/2.5)^0.45)</f>
        <v>-19.266769537158076</v>
      </c>
      <c r="AC70" s="2"/>
    </row>
    <row r="71" spans="1:29" x14ac:dyDescent="0.25">
      <c r="A71" s="33">
        <f t="shared" si="14"/>
        <v>3150000000</v>
      </c>
      <c r="B71" s="1">
        <f>Calculate[[#This Row],[Freq]]-A70</f>
        <v>45000000</v>
      </c>
      <c r="C71" s="1">
        <f>Channels!B71*cable_length</f>
        <v>-16.271474329496741</v>
      </c>
      <c r="D71" s="1">
        <f>Channels!C71*PCB_trace_length</f>
        <v>-1.1168359849724276</v>
      </c>
      <c r="E71" s="1">
        <f>Calculate[[#This Row],[IL_Cable]]+Calculate[[#This Row],[IL_PCB]]</f>
        <v>-17.38831031446917</v>
      </c>
      <c r="F71" s="2">
        <f>Masks!A71</f>
        <v>-98.089446360908553</v>
      </c>
      <c r="G71" s="2">
        <f>Masks!B71</f>
        <v>-98.089446360908553</v>
      </c>
      <c r="H71" s="2">
        <f>Calculate[[#This Row],[Tx_PSD_us]]+Calculate[[#This Row],[IL]]</f>
        <v>-115.47775667537772</v>
      </c>
      <c r="I71" s="2">
        <f>Calculate[[#This Row],[Tx_PSD_ds]]+Calculate[[#This Row],[IL]]</f>
        <v>-115.47775667537772</v>
      </c>
      <c r="J71" s="2">
        <f>Masks[[#This Row],[channel_echo]]</f>
        <v>-12.476554414100704</v>
      </c>
      <c r="K71" s="2">
        <f>Masks[[#This Row],[channel_echo]]</f>
        <v>-12.476554414100704</v>
      </c>
      <c r="L71" s="2">
        <f>Calculate[[#This Row],[Echo_transfer_us]]+Calculate[[#This Row],[Tx_PSD_ds]]</f>
        <v>-110.56600077500926</v>
      </c>
      <c r="M71" s="2">
        <f>Calculate[[#This Row],[Echo_transfer_ds]]+Calculate[[#This Row],[Tx_PSD_us]]</f>
        <v>-110.56600077500926</v>
      </c>
      <c r="N71" s="2">
        <f t="shared" si="10"/>
        <v>-140</v>
      </c>
      <c r="O71" s="2">
        <f t="shared" si="11"/>
        <v>-140</v>
      </c>
      <c r="P71" s="2">
        <f t="shared" si="12"/>
        <v>6</v>
      </c>
      <c r="Q71" s="2">
        <f t="shared" si="13"/>
        <v>6</v>
      </c>
      <c r="R71" s="2">
        <f>10*LOG10((10^(Calculate[[#This Row],[Rx_echo_us]]/10))-(10^((Masks[[#This Row],[connector_echo]]+Calculate[[#This Row],[Tx_PSD_ds]])/10))*EC_conector_ratio_us)-Calculate[[#This Row],[EC_cancelation_us]]</f>
        <v>-145.73026010756018</v>
      </c>
      <c r="S71" s="2">
        <f>10*LOG10((10^(Calculate[[#This Row],[Rx_echo_ds]]/10))-(10^((Masks[[#This Row],[connector_echo]]+Calculate[[#This Row],[Tx_PSD_us]])/10))*EC_conector_ratio_ds)-Calculate[[#This Row],[EC_cancelation_ds]]</f>
        <v>-145.73026010756018</v>
      </c>
      <c r="T71" s="1">
        <f>(POWER(10,Calculate[[#This Row],[AFE_noise_us]]/10)+POWER(10,Calculate[[#This Row],[Echo_res_us]]/10))</f>
        <v>1.2672846321813432E-14</v>
      </c>
      <c r="U71" s="1">
        <f>(POWER(10,Calculate[[#This Row],[AFE_noise_ds]]/10)+POWER(10,Calculate[[#This Row],[Echo_res_ds]]/10))</f>
        <v>1.2672846321813432E-14</v>
      </c>
      <c r="V71" s="2">
        <f>10*LOG10(Calculate[[#This Row],[Linear_Noise_us]])</f>
        <v>-138.97125831602102</v>
      </c>
      <c r="W71" s="2">
        <f>10*LOG10(Calculate[[#This Row],[Linear_Noise_ds]])</f>
        <v>-138.97125831602102</v>
      </c>
      <c r="X71" s="2">
        <f>Calculate[[#This Row],[Rx_PSD_us]]-Calculate[[#This Row],[Noise_us]]</f>
        <v>23.493501640643302</v>
      </c>
      <c r="Y71" s="2">
        <f>Calculate[[#This Row],[Rx_PSD_ds]]-Calculate[[#This Row],[Noise_ds]]</f>
        <v>23.493501640643302</v>
      </c>
      <c r="Z71" s="2">
        <f>POWER(10,Calculate[[#This Row],[SNRdB_us]]/10)</f>
        <v>223.53738393566928</v>
      </c>
      <c r="AA71" s="2">
        <f>POWER(10,Calculate[[#This Row],[SNRdB_ds]]/10)</f>
        <v>223.53738393566928</v>
      </c>
      <c r="AB71" s="2">
        <f>-(0.002*Calculate[[#This Row],[Freq]]/1000000/2.5+0.68*(Calculate[[#This Row],[Freq]]/1000000/2.5)^0.45)</f>
        <v>-19.411789393407666</v>
      </c>
      <c r="AC71" s="2"/>
    </row>
    <row r="72" spans="1:29" x14ac:dyDescent="0.25">
      <c r="A72" s="33">
        <f t="shared" si="14"/>
        <v>3195000000</v>
      </c>
      <c r="B72" s="1">
        <f>Calculate[[#This Row],[Freq]]-A71</f>
        <v>45000000</v>
      </c>
      <c r="C72" s="1">
        <f>Channels!B72*cable_length</f>
        <v>-16.410183929744232</v>
      </c>
      <c r="D72" s="1">
        <f>Channels!C72*PCB_trace_length</f>
        <v>-1.1314167796625705</v>
      </c>
      <c r="E72" s="1">
        <f>Calculate[[#This Row],[IL_Cable]]+Calculate[[#This Row],[IL_PCB]]</f>
        <v>-17.541600709406801</v>
      </c>
      <c r="F72" s="2">
        <f>Masks!A72</f>
        <v>-98.110801200931533</v>
      </c>
      <c r="G72" s="2">
        <f>Masks!B72</f>
        <v>-98.110801200931533</v>
      </c>
      <c r="H72" s="2">
        <f>Calculate[[#This Row],[Tx_PSD_us]]+Calculate[[#This Row],[IL]]</f>
        <v>-115.65240191033834</v>
      </c>
      <c r="I72" s="2">
        <f>Calculate[[#This Row],[Tx_PSD_ds]]+Calculate[[#This Row],[IL]]</f>
        <v>-115.65240191033834</v>
      </c>
      <c r="J72" s="2">
        <f>Masks[[#This Row],[channel_echo]]</f>
        <v>-12.4181857857194</v>
      </c>
      <c r="K72" s="2">
        <f>Masks[[#This Row],[channel_echo]]</f>
        <v>-12.4181857857194</v>
      </c>
      <c r="L72" s="2">
        <f>Calculate[[#This Row],[Echo_transfer_us]]+Calculate[[#This Row],[Tx_PSD_ds]]</f>
        <v>-110.52898698665093</v>
      </c>
      <c r="M72" s="2">
        <f>Calculate[[#This Row],[Echo_transfer_ds]]+Calculate[[#This Row],[Tx_PSD_us]]</f>
        <v>-110.52898698665093</v>
      </c>
      <c r="N72" s="2">
        <f t="shared" si="10"/>
        <v>-140</v>
      </c>
      <c r="O72" s="2">
        <f t="shared" si="11"/>
        <v>-140</v>
      </c>
      <c r="P72" s="2">
        <f t="shared" si="12"/>
        <v>6</v>
      </c>
      <c r="Q72" s="2">
        <f t="shared" si="13"/>
        <v>6</v>
      </c>
      <c r="R72" s="2">
        <f>10*LOG10((10^(Calculate[[#This Row],[Rx_echo_us]]/10))-(10^((Masks[[#This Row],[connector_echo]]+Calculate[[#This Row],[Tx_PSD_ds]])/10))*EC_conector_ratio_us)-Calculate[[#This Row],[EC_cancelation_us]]</f>
        <v>-145.75161494759072</v>
      </c>
      <c r="S72" s="2">
        <f>10*LOG10((10^(Calculate[[#This Row],[Rx_echo_ds]]/10))-(10^((Masks[[#This Row],[connector_echo]]+Calculate[[#This Row],[Tx_PSD_us]])/10))*EC_conector_ratio_ds)-Calculate[[#This Row],[EC_cancelation_ds]]</f>
        <v>-145.75161494759072</v>
      </c>
      <c r="T72" s="1">
        <f>(POWER(10,Calculate[[#This Row],[AFE_noise_us]]/10)+POWER(10,Calculate[[#This Row],[Echo_res_us]]/10))</f>
        <v>1.265973583868633E-14</v>
      </c>
      <c r="U72" s="1">
        <f>(POWER(10,Calculate[[#This Row],[AFE_noise_ds]]/10)+POWER(10,Calculate[[#This Row],[Echo_res_ds]]/10))</f>
        <v>1.265973583868633E-14</v>
      </c>
      <c r="V72" s="2">
        <f>10*LOG10(Calculate[[#This Row],[Linear_Noise_us]])</f>
        <v>-138.97575356324808</v>
      </c>
      <c r="W72" s="2">
        <f>10*LOG10(Calculate[[#This Row],[Linear_Noise_ds]])</f>
        <v>-138.97575356324808</v>
      </c>
      <c r="X72" s="2">
        <f>Calculate[[#This Row],[Rx_PSD_us]]-Calculate[[#This Row],[Noise_us]]</f>
        <v>23.323351652909736</v>
      </c>
      <c r="Y72" s="2">
        <f>Calculate[[#This Row],[Rx_PSD_ds]]-Calculate[[#This Row],[Noise_ds]]</f>
        <v>23.323351652909736</v>
      </c>
      <c r="Z72" s="2">
        <f>POWER(10,Calculate[[#This Row],[SNRdB_us]]/10)</f>
        <v>214.94886947828616</v>
      </c>
      <c r="AA72" s="2">
        <f>POWER(10,Calculate[[#This Row],[SNRdB_ds]]/10)</f>
        <v>214.94886947828616</v>
      </c>
      <c r="AB72" s="2">
        <f>-(0.002*Calculate[[#This Row],[Freq]]/1000000/2.5+0.68*(Calculate[[#This Row],[Freq]]/1000000/2.5)^0.45)</f>
        <v>-19.555955984569291</v>
      </c>
      <c r="AC72" s="2"/>
    </row>
    <row r="73" spans="1:29" x14ac:dyDescent="0.25">
      <c r="A73" s="33">
        <f t="shared" si="14"/>
        <v>3240000000</v>
      </c>
      <c r="B73" s="1">
        <f>Calculate[[#This Row],[Freq]]-A72</f>
        <v>45000000</v>
      </c>
      <c r="C73" s="1">
        <f>Channels!B73*cable_length</f>
        <v>-16.548240329983415</v>
      </c>
      <c r="D73" s="1">
        <f>Channels!C73*PCB_trace_length</f>
        <v>-1.145988</v>
      </c>
      <c r="E73" s="1">
        <f>Calculate[[#This Row],[IL_Cable]]+Calculate[[#This Row],[IL_PCB]]</f>
        <v>-17.694228329983414</v>
      </c>
      <c r="F73" s="2">
        <f>Masks!A73</f>
        <v>-98.13248106544593</v>
      </c>
      <c r="G73" s="2">
        <f>Masks!B73</f>
        <v>-98.13248106544593</v>
      </c>
      <c r="H73" s="2">
        <f>Calculate[[#This Row],[Tx_PSD_us]]+Calculate[[#This Row],[IL]]</f>
        <v>-115.82670939542935</v>
      </c>
      <c r="I73" s="2">
        <f>Calculate[[#This Row],[Tx_PSD_ds]]+Calculate[[#This Row],[IL]]</f>
        <v>-115.82670939542935</v>
      </c>
      <c r="J73" s="2">
        <f>Masks[[#This Row],[channel_echo]]</f>
        <v>-12.360591232338951</v>
      </c>
      <c r="K73" s="2">
        <f>Masks[[#This Row],[channel_echo]]</f>
        <v>-12.360591232338951</v>
      </c>
      <c r="L73" s="2">
        <f>Calculate[[#This Row],[Echo_transfer_us]]+Calculate[[#This Row],[Tx_PSD_ds]]</f>
        <v>-110.49307229778488</v>
      </c>
      <c r="M73" s="2">
        <f>Calculate[[#This Row],[Echo_transfer_ds]]+Calculate[[#This Row],[Tx_PSD_us]]</f>
        <v>-110.49307229778488</v>
      </c>
      <c r="N73" s="2">
        <f t="shared" si="10"/>
        <v>-140</v>
      </c>
      <c r="O73" s="2">
        <f t="shared" si="11"/>
        <v>-140</v>
      </c>
      <c r="P73" s="2">
        <f t="shared" si="12"/>
        <v>6</v>
      </c>
      <c r="Q73" s="2">
        <f t="shared" si="13"/>
        <v>6</v>
      </c>
      <c r="R73" s="2">
        <f>10*LOG10((10^(Calculate[[#This Row],[Rx_echo_us]]/10))-(10^((Masks[[#This Row],[connector_echo]]+Calculate[[#This Row],[Tx_PSD_ds]])/10))*EC_conector_ratio_us)-Calculate[[#This Row],[EC_cancelation_us]]</f>
        <v>-145.77329481211962</v>
      </c>
      <c r="S73" s="2">
        <f>10*LOG10((10^(Calculate[[#This Row],[Rx_echo_ds]]/10))-(10^((Masks[[#This Row],[connector_echo]]+Calculate[[#This Row],[Tx_PSD_us]])/10))*EC_conector_ratio_ds)-Calculate[[#This Row],[EC_cancelation_ds]]</f>
        <v>-145.77329481211962</v>
      </c>
      <c r="T73" s="1">
        <f>(POWER(10,Calculate[[#This Row],[AFE_noise_us]]/10)+POWER(10,Calculate[[#This Row],[Echo_res_us]]/10))</f>
        <v>1.2646491593388871E-14</v>
      </c>
      <c r="U73" s="1">
        <f>(POWER(10,Calculate[[#This Row],[AFE_noise_ds]]/10)+POWER(10,Calculate[[#This Row],[Echo_res_ds]]/10))</f>
        <v>1.2646491593388871E-14</v>
      </c>
      <c r="V73" s="2">
        <f>10*LOG10(Calculate[[#This Row],[Linear_Noise_us]])</f>
        <v>-138.98029940335027</v>
      </c>
      <c r="W73" s="2">
        <f>10*LOG10(Calculate[[#This Row],[Linear_Noise_ds]])</f>
        <v>-138.98029940335027</v>
      </c>
      <c r="X73" s="2">
        <f>Calculate[[#This Row],[Rx_PSD_us]]-Calculate[[#This Row],[Noise_us]]</f>
        <v>23.153590007920926</v>
      </c>
      <c r="Y73" s="2">
        <f>Calculate[[#This Row],[Rx_PSD_ds]]-Calculate[[#This Row],[Noise_ds]]</f>
        <v>23.153590007920926</v>
      </c>
      <c r="Z73" s="2">
        <f>POWER(10,Calculate[[#This Row],[SNRdB_us]]/10)</f>
        <v>206.70881665939748</v>
      </c>
      <c r="AA73" s="2">
        <f>POWER(10,Calculate[[#This Row],[SNRdB_ds]]/10)</f>
        <v>206.70881665939748</v>
      </c>
      <c r="AB73" s="2">
        <f>-(0.002*Calculate[[#This Row],[Freq]]/1000000/2.5+0.68*(Calculate[[#This Row],[Freq]]/1000000/2.5)^0.45)</f>
        <v>-19.699287867528263</v>
      </c>
      <c r="AC73" s="2"/>
    </row>
    <row r="74" spans="1:29" x14ac:dyDescent="0.25">
      <c r="A74" s="33">
        <f t="shared" si="14"/>
        <v>3285000000</v>
      </c>
      <c r="B74" s="1">
        <f>Calculate[[#This Row],[Freq]]-A73</f>
        <v>45000000</v>
      </c>
      <c r="C74" s="1">
        <f>Channels!B74*cable_length</f>
        <v>-16.685657092280653</v>
      </c>
      <c r="D74" s="1">
        <f>Channels!C74*PCB_trace_length</f>
        <v>-1.1605498447722322</v>
      </c>
      <c r="E74" s="1">
        <f>Calculate[[#This Row],[IL_Cable]]+Calculate[[#This Row],[IL_PCB]]</f>
        <v>-17.846206937052884</v>
      </c>
      <c r="F74" s="2">
        <f>Masks!A74</f>
        <v>-98.154486955504481</v>
      </c>
      <c r="G74" s="2">
        <f>Masks!B74</f>
        <v>-98.154486955504481</v>
      </c>
      <c r="H74" s="2">
        <f>Calculate[[#This Row],[Tx_PSD_us]]+Calculate[[#This Row],[IL]]</f>
        <v>-116.00069389255736</v>
      </c>
      <c r="I74" s="2">
        <f>Calculate[[#This Row],[Tx_PSD_ds]]+Calculate[[#This Row],[IL]]</f>
        <v>-116.00069389255736</v>
      </c>
      <c r="J74" s="2">
        <f>Masks[[#This Row],[channel_echo]]</f>
        <v>-12.303750491082431</v>
      </c>
      <c r="K74" s="2">
        <f>Masks[[#This Row],[channel_echo]]</f>
        <v>-12.303750491082431</v>
      </c>
      <c r="L74" s="2">
        <f>Calculate[[#This Row],[Echo_transfer_us]]+Calculate[[#This Row],[Tx_PSD_ds]]</f>
        <v>-110.45823744658691</v>
      </c>
      <c r="M74" s="2">
        <f>Calculate[[#This Row],[Echo_transfer_ds]]+Calculate[[#This Row],[Tx_PSD_us]]</f>
        <v>-110.45823744658691</v>
      </c>
      <c r="N74" s="2">
        <f t="shared" si="10"/>
        <v>-140</v>
      </c>
      <c r="O74" s="2">
        <f t="shared" si="11"/>
        <v>-140</v>
      </c>
      <c r="P74" s="2">
        <f t="shared" si="12"/>
        <v>6</v>
      </c>
      <c r="Q74" s="2">
        <f t="shared" si="13"/>
        <v>6</v>
      </c>
      <c r="R74" s="2">
        <f>10*LOG10((10^(Calculate[[#This Row],[Rx_echo_us]]/10))-(10^((Masks[[#This Row],[connector_echo]]+Calculate[[#This Row],[Tx_PSD_ds]])/10))*EC_conector_ratio_us)-Calculate[[#This Row],[EC_cancelation_us]]</f>
        <v>-145.79530070216293</v>
      </c>
      <c r="S74" s="2">
        <f>10*LOG10((10^(Calculate[[#This Row],[Rx_echo_ds]]/10))-(10^((Masks[[#This Row],[connector_echo]]+Calculate[[#This Row],[Tx_PSD_us]])/10))*EC_conector_ratio_ds)-Calculate[[#This Row],[EC_cancelation_ds]]</f>
        <v>-145.79530070216293</v>
      </c>
      <c r="T74" s="1">
        <f>(POWER(10,Calculate[[#This Row],[AFE_noise_us]]/10)+POWER(10,Calculate[[#This Row],[Echo_res_us]]/10))</f>
        <v>1.2633115622460806E-14</v>
      </c>
      <c r="U74" s="1">
        <f>(POWER(10,Calculate[[#This Row],[AFE_noise_ds]]/10)+POWER(10,Calculate[[#This Row],[Echo_res_ds]]/10))</f>
        <v>1.2633115622460806E-14</v>
      </c>
      <c r="V74" s="2">
        <f>10*LOG10(Calculate[[#This Row],[Linear_Noise_us]])</f>
        <v>-138.98489529034859</v>
      </c>
      <c r="W74" s="2">
        <f>10*LOG10(Calculate[[#This Row],[Linear_Noise_ds]])</f>
        <v>-138.98489529034859</v>
      </c>
      <c r="X74" s="2">
        <f>Calculate[[#This Row],[Rx_PSD_us]]-Calculate[[#This Row],[Noise_us]]</f>
        <v>22.984201397791225</v>
      </c>
      <c r="Y74" s="2">
        <f>Calculate[[#This Row],[Rx_PSD_ds]]-Calculate[[#This Row],[Noise_ds]]</f>
        <v>22.984201397791225</v>
      </c>
      <c r="Z74" s="2">
        <f>POWER(10,Calculate[[#This Row],[SNRdB_us]]/10)</f>
        <v>198.80172103301032</v>
      </c>
      <c r="AA74" s="2">
        <f>POWER(10,Calculate[[#This Row],[SNRdB_ds]]/10)</f>
        <v>198.80172103301032</v>
      </c>
      <c r="AB74" s="2">
        <f>-(0.002*Calculate[[#This Row],[Freq]]/1000000/2.5+0.68*(Calculate[[#This Row],[Freq]]/1000000/2.5)^0.45)</f>
        <v>-19.841802944392789</v>
      </c>
      <c r="AC74" s="2"/>
    </row>
    <row r="75" spans="1:29" x14ac:dyDescent="0.25">
      <c r="A75" s="33">
        <f t="shared" si="14"/>
        <v>3330000000</v>
      </c>
      <c r="B75" s="1">
        <f>Calculate[[#This Row],[Freq]]-A74</f>
        <v>45000000</v>
      </c>
      <c r="C75" s="1">
        <f>Channels!B75*cable_length</f>
        <v>-16.822447315794733</v>
      </c>
      <c r="D75" s="1">
        <f>Channels!C75*PCB_trace_length</f>
        <v>-1.1751025059816624</v>
      </c>
      <c r="E75" s="1">
        <f>Calculate[[#This Row],[IL_Cable]]+Calculate[[#This Row],[IL_PCB]]</f>
        <v>-17.997549821776396</v>
      </c>
      <c r="F75" s="2">
        <f>Masks!A75</f>
        <v>-98.176819891127963</v>
      </c>
      <c r="G75" s="2">
        <f>Masks!B75</f>
        <v>-98.176819891127963</v>
      </c>
      <c r="H75" s="2">
        <f>Calculate[[#This Row],[Tx_PSD_us]]+Calculate[[#This Row],[IL]]</f>
        <v>-116.17436971290437</v>
      </c>
      <c r="I75" s="2">
        <f>Calculate[[#This Row],[Tx_PSD_ds]]+Calculate[[#This Row],[IL]]</f>
        <v>-116.17436971290437</v>
      </c>
      <c r="J75" s="2">
        <f>Masks[[#This Row],[channel_echo]]</f>
        <v>-12.247644084433487</v>
      </c>
      <c r="K75" s="2">
        <f>Masks[[#This Row],[channel_echo]]</f>
        <v>-12.247644084433487</v>
      </c>
      <c r="L75" s="2">
        <f>Calculate[[#This Row],[Echo_transfer_us]]+Calculate[[#This Row],[Tx_PSD_ds]]</f>
        <v>-110.42446397556145</v>
      </c>
      <c r="M75" s="2">
        <f>Calculate[[#This Row],[Echo_transfer_ds]]+Calculate[[#This Row],[Tx_PSD_us]]</f>
        <v>-110.42446397556145</v>
      </c>
      <c r="N75" s="2">
        <f t="shared" si="10"/>
        <v>-140</v>
      </c>
      <c r="O75" s="2">
        <f t="shared" si="11"/>
        <v>-140</v>
      </c>
      <c r="P75" s="2">
        <f t="shared" si="12"/>
        <v>6</v>
      </c>
      <c r="Q75" s="2">
        <f t="shared" si="13"/>
        <v>6</v>
      </c>
      <c r="R75" s="2">
        <f>10*LOG10((10^(Calculate[[#This Row],[Rx_echo_us]]/10))-(10^((Masks[[#This Row],[connector_echo]]+Calculate[[#This Row],[Tx_PSD_ds]])/10))*EC_conector_ratio_us)-Calculate[[#This Row],[EC_cancelation_us]]</f>
        <v>-145.81763363778902</v>
      </c>
      <c r="S75" s="2">
        <f>10*LOG10((10^(Calculate[[#This Row],[Rx_echo_ds]]/10))-(10^((Masks[[#This Row],[connector_echo]]+Calculate[[#This Row],[Tx_PSD_us]])/10))*EC_conector_ratio_ds)-Calculate[[#This Row],[EC_cancelation_ds]]</f>
        <v>-145.81763363778902</v>
      </c>
      <c r="T75" s="1">
        <f>(POWER(10,Calculate[[#This Row],[AFE_noise_us]]/10)+POWER(10,Calculate[[#This Row],[Echo_res_us]]/10))</f>
        <v>1.2619609979502863E-14</v>
      </c>
      <c r="U75" s="1">
        <f>(POWER(10,Calculate[[#This Row],[AFE_noise_ds]]/10)+POWER(10,Calculate[[#This Row],[Echo_res_ds]]/10))</f>
        <v>1.2619609979502863E-14</v>
      </c>
      <c r="V75" s="2">
        <f>10*LOG10(Calculate[[#This Row],[Linear_Noise_us]])</f>
        <v>-138.98954067149506</v>
      </c>
      <c r="W75" s="2">
        <f>10*LOG10(Calculate[[#This Row],[Linear_Noise_ds]])</f>
        <v>-138.98954067149506</v>
      </c>
      <c r="X75" s="2">
        <f>Calculate[[#This Row],[Rx_PSD_us]]-Calculate[[#This Row],[Noise_us]]</f>
        <v>22.815170958590699</v>
      </c>
      <c r="Y75" s="2">
        <f>Calculate[[#This Row],[Rx_PSD_ds]]-Calculate[[#This Row],[Noise_ds]]</f>
        <v>22.815170958590699</v>
      </c>
      <c r="Z75" s="2">
        <f>POWER(10,Calculate[[#This Row],[SNRdB_us]]/10)</f>
        <v>191.21285934346071</v>
      </c>
      <c r="AA75" s="2">
        <f>POWER(10,Calculate[[#This Row],[SNRdB_ds]]/10)</f>
        <v>191.21285934346071</v>
      </c>
      <c r="AB75" s="2">
        <f>-(0.002*Calculate[[#This Row],[Freq]]/1000000/2.5+0.68*(Calculate[[#This Row],[Freq]]/1000000/2.5)^0.45)</f>
        <v>-19.983518494219737</v>
      </c>
      <c r="AC75" s="2"/>
    </row>
    <row r="76" spans="1:29" x14ac:dyDescent="0.25">
      <c r="A76" s="33">
        <f t="shared" si="14"/>
        <v>3375000000</v>
      </c>
      <c r="B76" s="1">
        <f>Calculate[[#This Row],[Freq]]-A75</f>
        <v>45000000</v>
      </c>
      <c r="C76" s="1">
        <f>Channels!B76*cable_length</f>
        <v>-16.95862365859972</v>
      </c>
      <c r="D76" s="1">
        <f>Channels!C76*PCB_trace_length</f>
        <v>-1.1896461691654376</v>
      </c>
      <c r="E76" s="1">
        <f>Calculate[[#This Row],[IL_Cable]]+Calculate[[#This Row],[IL_PCB]]</f>
        <v>-18.148269827765159</v>
      </c>
      <c r="F76" s="2">
        <f>Masks!A76</f>
        <v>-98.199480911545393</v>
      </c>
      <c r="G76" s="2">
        <f>Masks!B76</f>
        <v>-98.199480911545393</v>
      </c>
      <c r="H76" s="2">
        <f>Calculate[[#This Row],[Tx_PSD_us]]+Calculate[[#This Row],[IL]]</f>
        <v>-116.34775073931056</v>
      </c>
      <c r="I76" s="2">
        <f>Calculate[[#This Row],[Tx_PSD_ds]]+Calculate[[#This Row],[IL]]</f>
        <v>-116.34775073931056</v>
      </c>
      <c r="J76" s="2">
        <f>Masks[[#This Row],[channel_echo]]</f>
        <v>-12.192253280167542</v>
      </c>
      <c r="K76" s="2">
        <f>Masks[[#This Row],[channel_echo]]</f>
        <v>-12.192253280167542</v>
      </c>
      <c r="L76" s="2">
        <f>Calculate[[#This Row],[Echo_transfer_us]]+Calculate[[#This Row],[Tx_PSD_ds]]</f>
        <v>-110.39173419171294</v>
      </c>
      <c r="M76" s="2">
        <f>Calculate[[#This Row],[Echo_transfer_ds]]+Calculate[[#This Row],[Tx_PSD_us]]</f>
        <v>-110.39173419171294</v>
      </c>
      <c r="N76" s="2">
        <f t="shared" si="10"/>
        <v>-140</v>
      </c>
      <c r="O76" s="2">
        <f t="shared" si="11"/>
        <v>-140</v>
      </c>
      <c r="P76" s="2">
        <f t="shared" si="12"/>
        <v>6</v>
      </c>
      <c r="Q76" s="2">
        <f t="shared" si="13"/>
        <v>6</v>
      </c>
      <c r="R76" s="2">
        <f>10*LOG10((10^(Calculate[[#This Row],[Rx_echo_us]]/10))-(10^((Masks[[#This Row],[connector_echo]]+Calculate[[#This Row],[Tx_PSD_ds]])/10))*EC_conector_ratio_us)-Calculate[[#This Row],[EC_cancelation_us]]</f>
        <v>-145.84029465822888</v>
      </c>
      <c r="S76" s="2">
        <f>10*LOG10((10^(Calculate[[#This Row],[Rx_echo_ds]]/10))-(10^((Masks[[#This Row],[connector_echo]]+Calculate[[#This Row],[Tx_PSD_us]])/10))*EC_conector_ratio_ds)-Calculate[[#This Row],[EC_cancelation_ds]]</f>
        <v>-145.84029465822888</v>
      </c>
      <c r="T76" s="1">
        <f>(POWER(10,Calculate[[#This Row],[AFE_noise_us]]/10)+POWER(10,Calculate[[#This Row],[Echo_res_us]]/10))</f>
        <v>1.2605976734826011E-14</v>
      </c>
      <c r="U76" s="1">
        <f>(POWER(10,Calculate[[#This Row],[AFE_noise_ds]]/10)+POWER(10,Calculate[[#This Row],[Echo_res_ds]]/10))</f>
        <v>1.2605976734826011E-14</v>
      </c>
      <c r="V76" s="2">
        <f>10*LOG10(Calculate[[#This Row],[Linear_Noise_us]])</f>
        <v>-138.99423498729203</v>
      </c>
      <c r="W76" s="2">
        <f>10*LOG10(Calculate[[#This Row],[Linear_Noise_ds]])</f>
        <v>-138.99423498729203</v>
      </c>
      <c r="X76" s="2">
        <f>Calculate[[#This Row],[Rx_PSD_us]]-Calculate[[#This Row],[Noise_us]]</f>
        <v>22.646484247981476</v>
      </c>
      <c r="Y76" s="2">
        <f>Calculate[[#This Row],[Rx_PSD_ds]]-Calculate[[#This Row],[Noise_ds]]</f>
        <v>22.646484247981476</v>
      </c>
      <c r="Z76" s="2">
        <f>POWER(10,Calculate[[#This Row],[SNRdB_us]]/10)</f>
        <v>183.92824409671741</v>
      </c>
      <c r="AA76" s="2">
        <f>POWER(10,Calculate[[#This Row],[SNRdB_ds]]/10)</f>
        <v>183.92824409671741</v>
      </c>
      <c r="AB76" s="2">
        <f>-(0.002*Calculate[[#This Row],[Freq]]/1000000/2.5+0.68*(Calculate[[#This Row],[Freq]]/1000000/2.5)^0.45)</f>
        <v>-20.124451202796596</v>
      </c>
      <c r="AC76" s="2"/>
    </row>
    <row r="77" spans="1:29" x14ac:dyDescent="0.25">
      <c r="A77" s="33">
        <f t="shared" si="14"/>
        <v>3420000000</v>
      </c>
      <c r="B77" s="1">
        <f>Calculate[[#This Row],[Freq]]-A76</f>
        <v>45000000</v>
      </c>
      <c r="C77" s="1">
        <f>Channels!B77*cable_length</f>
        <v>-17.0941983582026</v>
      </c>
      <c r="D77" s="1">
        <f>Channels!C77*PCB_trace_length</f>
        <v>-1.204181013696195</v>
      </c>
      <c r="E77" s="1">
        <f>Calculate[[#This Row],[IL_Cable]]+Calculate[[#This Row],[IL_PCB]]</f>
        <v>-18.298379371898797</v>
      </c>
      <c r="F77" s="2">
        <f>Masks!A77</f>
        <v>-98.222471075440311</v>
      </c>
      <c r="G77" s="2">
        <f>Masks!B77</f>
        <v>-98.222471075440311</v>
      </c>
      <c r="H77" s="2">
        <f>Calculate[[#This Row],[Tx_PSD_us]]+Calculate[[#This Row],[IL]]</f>
        <v>-116.52085044733911</v>
      </c>
      <c r="I77" s="2">
        <f>Calculate[[#This Row],[Tx_PSD_ds]]+Calculate[[#This Row],[IL]]</f>
        <v>-116.52085044733911</v>
      </c>
      <c r="J77" s="2">
        <f>Masks[[#This Row],[channel_echo]]</f>
        <v>-12.137560053806144</v>
      </c>
      <c r="K77" s="2">
        <f>Masks[[#This Row],[channel_echo]]</f>
        <v>-12.137560053806144</v>
      </c>
      <c r="L77" s="2">
        <f>Calculate[[#This Row],[Echo_transfer_us]]+Calculate[[#This Row],[Tx_PSD_ds]]</f>
        <v>-110.36003112924645</v>
      </c>
      <c r="M77" s="2">
        <f>Calculate[[#This Row],[Echo_transfer_ds]]+Calculate[[#This Row],[Tx_PSD_us]]</f>
        <v>-110.36003112924645</v>
      </c>
      <c r="N77" s="2">
        <f t="shared" si="10"/>
        <v>-140</v>
      </c>
      <c r="O77" s="2">
        <f t="shared" si="11"/>
        <v>-140</v>
      </c>
      <c r="P77" s="2">
        <f t="shared" si="12"/>
        <v>6</v>
      </c>
      <c r="Q77" s="2">
        <f t="shared" si="13"/>
        <v>6</v>
      </c>
      <c r="R77" s="2">
        <f>10*LOG10((10^(Calculate[[#This Row],[Rx_echo_us]]/10))-(10^((Masks[[#This Row],[connector_echo]]+Calculate[[#This Row],[Tx_PSD_ds]])/10))*EC_conector_ratio_us)-Calculate[[#This Row],[EC_cancelation_us]]</f>
        <v>-145.86328482209717</v>
      </c>
      <c r="S77" s="2">
        <f>10*LOG10((10^(Calculate[[#This Row],[Rx_echo_ds]]/10))-(10^((Masks[[#This Row],[connector_echo]]+Calculate[[#This Row],[Tx_PSD_us]])/10))*EC_conector_ratio_ds)-Calculate[[#This Row],[EC_cancelation_ds]]</f>
        <v>-145.86328482209717</v>
      </c>
      <c r="T77" s="1">
        <f>(POWER(10,Calculate[[#This Row],[AFE_noise_us]]/10)+POWER(10,Calculate[[#This Row],[Echo_res_us]]/10))</f>
        <v>1.2592217975032905E-14</v>
      </c>
      <c r="U77" s="1">
        <f>(POWER(10,Calculate[[#This Row],[AFE_noise_ds]]/10)+POWER(10,Calculate[[#This Row],[Echo_res_ds]]/10))</f>
        <v>1.2592217975032905E-14</v>
      </c>
      <c r="V77" s="2">
        <f>10*LOG10(Calculate[[#This Row],[Linear_Noise_us]])</f>
        <v>-138.99897767153479</v>
      </c>
      <c r="W77" s="2">
        <f>10*LOG10(Calculate[[#This Row],[Linear_Noise_ds]])</f>
        <v>-138.99897767153479</v>
      </c>
      <c r="X77" s="2">
        <f>Calculate[[#This Row],[Rx_PSD_us]]-Calculate[[#This Row],[Noise_us]]</f>
        <v>22.478127224195674</v>
      </c>
      <c r="Y77" s="2">
        <f>Calculate[[#This Row],[Rx_PSD_ds]]-Calculate[[#This Row],[Noise_ds]]</f>
        <v>22.478127224195674</v>
      </c>
      <c r="Z77" s="2">
        <f>POWER(10,Calculate[[#This Row],[SNRdB_us]]/10)</f>
        <v>176.93458119469582</v>
      </c>
      <c r="AA77" s="2">
        <f>POWER(10,Calculate[[#This Row],[SNRdB_ds]]/10)</f>
        <v>176.93458119469582</v>
      </c>
      <c r="AB77" s="2">
        <f>-(0.002*Calculate[[#This Row],[Freq]]/1000000/2.5+0.68*(Calculate[[#This Row],[Freq]]/1000000/2.5)^0.45)</f>
        <v>-20.264617190623092</v>
      </c>
      <c r="AC77" s="2"/>
    </row>
    <row r="78" spans="1:29" x14ac:dyDescent="0.25">
      <c r="A78" s="33">
        <f t="shared" si="14"/>
        <v>3465000000</v>
      </c>
      <c r="B78" s="1">
        <f>Calculate[[#This Row],[Freq]]-A77</f>
        <v>45000000</v>
      </c>
      <c r="C78" s="1">
        <f>Channels!B78*cable_length</f>
        <v>-17.229183250849935</v>
      </c>
      <c r="D78" s="1">
        <f>Channels!C78*PCB_trace_length</f>
        <v>-1.218707213065052</v>
      </c>
      <c r="E78" s="1">
        <f>Calculate[[#This Row],[IL_Cable]]+Calculate[[#This Row],[IL_PCB]]</f>
        <v>-18.447890463914987</v>
      </c>
      <c r="F78" s="2">
        <f>Masks!A78</f>
        <v>-98.245791461202813</v>
      </c>
      <c r="G78" s="2">
        <f>Masks!B78</f>
        <v>-98.245791461202813</v>
      </c>
      <c r="H78" s="2">
        <f>Calculate[[#This Row],[Tx_PSD_us]]+Calculate[[#This Row],[IL]]</f>
        <v>-116.6936819251178</v>
      </c>
      <c r="I78" s="2">
        <f>Calculate[[#This Row],[Tx_PSD_ds]]+Calculate[[#This Row],[IL]]</f>
        <v>-116.6936819251178</v>
      </c>
      <c r="J78" s="2">
        <f>Masks[[#This Row],[channel_echo]]</f>
        <v>-12.083547053406292</v>
      </c>
      <c r="K78" s="2">
        <f>Masks[[#This Row],[channel_echo]]</f>
        <v>-12.083547053406292</v>
      </c>
      <c r="L78" s="2">
        <f>Calculate[[#This Row],[Echo_transfer_us]]+Calculate[[#This Row],[Tx_PSD_ds]]</f>
        <v>-110.32933851460911</v>
      </c>
      <c r="M78" s="2">
        <f>Calculate[[#This Row],[Echo_transfer_ds]]+Calculate[[#This Row],[Tx_PSD_us]]</f>
        <v>-110.32933851460911</v>
      </c>
      <c r="N78" s="2">
        <f t="shared" si="10"/>
        <v>-140</v>
      </c>
      <c r="O78" s="2">
        <f t="shared" si="11"/>
        <v>-140</v>
      </c>
      <c r="P78" s="2">
        <f t="shared" si="12"/>
        <v>6</v>
      </c>
      <c r="Q78" s="2">
        <f t="shared" si="13"/>
        <v>6</v>
      </c>
      <c r="R78" s="2">
        <f>10*LOG10((10^(Calculate[[#This Row],[Rx_echo_us]]/10))-(10^((Masks[[#This Row],[connector_echo]]+Calculate[[#This Row],[Tx_PSD_ds]])/10))*EC_conector_ratio_us)-Calculate[[#This Row],[EC_cancelation_us]]</f>
        <v>-145.88660520785444</v>
      </c>
      <c r="S78" s="2">
        <f>10*LOG10((10^(Calculate[[#This Row],[Rx_echo_ds]]/10))-(10^((Masks[[#This Row],[connector_echo]]+Calculate[[#This Row],[Tx_PSD_us]])/10))*EC_conector_ratio_ds)-Calculate[[#This Row],[EC_cancelation_ds]]</f>
        <v>-145.88660520785444</v>
      </c>
      <c r="T78" s="1">
        <f>(POWER(10,Calculate[[#This Row],[AFE_noise_us]]/10)+POWER(10,Calculate[[#This Row],[Echo_res_us]]/10))</f>
        <v>1.2578335802455954E-14</v>
      </c>
      <c r="U78" s="1">
        <f>(POWER(10,Calculate[[#This Row],[AFE_noise_ds]]/10)+POWER(10,Calculate[[#This Row],[Echo_res_ds]]/10))</f>
        <v>1.2578335802455954E-14</v>
      </c>
      <c r="V78" s="2">
        <f>10*LOG10(Calculate[[#This Row],[Linear_Noise_us]])</f>
        <v>-139.00376815140393</v>
      </c>
      <c r="W78" s="2">
        <f>10*LOG10(Calculate[[#This Row],[Linear_Noise_ds]])</f>
        <v>-139.00376815140393</v>
      </c>
      <c r="X78" s="2">
        <f>Calculate[[#This Row],[Rx_PSD_us]]-Calculate[[#This Row],[Noise_us]]</f>
        <v>22.310086226286131</v>
      </c>
      <c r="Y78" s="2">
        <f>Calculate[[#This Row],[Rx_PSD_ds]]-Calculate[[#This Row],[Noise_ds]]</f>
        <v>22.310086226286131</v>
      </c>
      <c r="Z78" s="2">
        <f>POWER(10,Calculate[[#This Row],[SNRdB_us]]/10)</f>
        <v>170.21923039575776</v>
      </c>
      <c r="AA78" s="2">
        <f>POWER(10,Calculate[[#This Row],[SNRdB_ds]]/10)</f>
        <v>170.21923039575776</v>
      </c>
      <c r="AB78" s="2">
        <f>-(0.002*Calculate[[#This Row],[Freq]]/1000000/2.5+0.68*(Calculate[[#This Row],[Freq]]/1000000/2.5)^0.45)</f>
        <v>-20.40403203922347</v>
      </c>
      <c r="AC78" s="2"/>
    </row>
    <row r="79" spans="1:29" x14ac:dyDescent="0.25">
      <c r="A79" s="33">
        <f t="shared" si="14"/>
        <v>3510000000</v>
      </c>
      <c r="B79" s="1">
        <f>Calculate[[#This Row],[Freq]]-A78</f>
        <v>45000000</v>
      </c>
      <c r="C79" s="1">
        <f>Channels!B79*cable_length</f>
        <v>-17.36358978970966</v>
      </c>
      <c r="D79" s="1">
        <f>Channels!C79*PCB_trace_length</f>
        <v>-1.2332249351481084</v>
      </c>
      <c r="E79" s="1">
        <f>Calculate[[#This Row],[IL_Cable]]+Calculate[[#This Row],[IL_PCB]]</f>
        <v>-18.596814724857769</v>
      </c>
      <c r="F79" s="2">
        <f>Masks!A79</f>
        <v>-98.269443167187973</v>
      </c>
      <c r="G79" s="2">
        <f>Masks!B79</f>
        <v>-98.269443167187973</v>
      </c>
      <c r="H79" s="2">
        <f>Calculate[[#This Row],[Tx_PSD_us]]+Calculate[[#This Row],[IL]]</f>
        <v>-116.86625789204574</v>
      </c>
      <c r="I79" s="2">
        <f>Calculate[[#This Row],[Tx_PSD_ds]]+Calculate[[#This Row],[IL]]</f>
        <v>-116.86625789204574</v>
      </c>
      <c r="J79" s="2">
        <f>Masks[[#This Row],[channel_echo]]</f>
        <v>-12.030197566512541</v>
      </c>
      <c r="K79" s="2">
        <f>Masks[[#This Row],[channel_echo]]</f>
        <v>-12.030197566512541</v>
      </c>
      <c r="L79" s="2">
        <f>Calculate[[#This Row],[Echo_transfer_us]]+Calculate[[#This Row],[Tx_PSD_ds]]</f>
        <v>-110.29964073370051</v>
      </c>
      <c r="M79" s="2">
        <f>Calculate[[#This Row],[Echo_transfer_ds]]+Calculate[[#This Row],[Tx_PSD_us]]</f>
        <v>-110.29964073370051</v>
      </c>
      <c r="N79" s="2">
        <f t="shared" si="10"/>
        <v>-140</v>
      </c>
      <c r="O79" s="2">
        <f t="shared" si="11"/>
        <v>-140</v>
      </c>
      <c r="P79" s="2">
        <f t="shared" si="12"/>
        <v>6</v>
      </c>
      <c r="Q79" s="2">
        <f t="shared" si="13"/>
        <v>6</v>
      </c>
      <c r="R79" s="2">
        <f>10*LOG10((10^(Calculate[[#This Row],[Rx_echo_us]]/10))-(10^((Masks[[#This Row],[connector_echo]]+Calculate[[#This Row],[Tx_PSD_ds]])/10))*EC_conector_ratio_us)-Calculate[[#This Row],[EC_cancelation_us]]</f>
        <v>-145.91025691385533</v>
      </c>
      <c r="S79" s="2">
        <f>10*LOG10((10^(Calculate[[#This Row],[Rx_echo_ds]]/10))-(10^((Masks[[#This Row],[connector_echo]]+Calculate[[#This Row],[Tx_PSD_us]])/10))*EC_conector_ratio_ds)-Calculate[[#This Row],[EC_cancelation_ds]]</f>
        <v>-145.91025691385533</v>
      </c>
      <c r="T79" s="1">
        <f>(POWER(10,Calculate[[#This Row],[AFE_noise_us]]/10)+POWER(10,Calculate[[#This Row],[Echo_res_us]]/10))</f>
        <v>1.2564332334845016E-14</v>
      </c>
      <c r="U79" s="1">
        <f>(POWER(10,Calculate[[#This Row],[AFE_noise_ds]]/10)+POWER(10,Calculate[[#This Row],[Echo_res_ds]]/10))</f>
        <v>1.2564332334845016E-14</v>
      </c>
      <c r="V79" s="2">
        <f>10*LOG10(Calculate[[#This Row],[Linear_Noise_us]])</f>
        <v>-139.00860584747227</v>
      </c>
      <c r="W79" s="2">
        <f>10*LOG10(Calculate[[#This Row],[Linear_Noise_ds]])</f>
        <v>-139.00860584747227</v>
      </c>
      <c r="X79" s="2">
        <f>Calculate[[#This Row],[Rx_PSD_us]]-Calculate[[#This Row],[Noise_us]]</f>
        <v>22.14234795542653</v>
      </c>
      <c r="Y79" s="2">
        <f>Calculate[[#This Row],[Rx_PSD_ds]]-Calculate[[#This Row],[Noise_ds]]</f>
        <v>22.14234795542653</v>
      </c>
      <c r="Z79" s="2">
        <f>POWER(10,Calculate[[#This Row],[SNRdB_us]]/10)</f>
        <v>163.77016837914024</v>
      </c>
      <c r="AA79" s="2">
        <f>POWER(10,Calculate[[#This Row],[SNRdB_ds]]/10)</f>
        <v>163.77016837914024</v>
      </c>
      <c r="AB79" s="2">
        <f>-(0.002*Calculate[[#This Row],[Freq]]/1000000/2.5+0.68*(Calculate[[#This Row],[Freq]]/1000000/2.5)^0.45)</f>
        <v>-20.542710815909196</v>
      </c>
      <c r="AC79" s="2"/>
    </row>
    <row r="80" spans="1:29" x14ac:dyDescent="0.25">
      <c r="A80" s="33">
        <f t="shared" si="14"/>
        <v>3555000000</v>
      </c>
      <c r="B80" s="1">
        <f>Calculate[[#This Row],[Freq]]-A79</f>
        <v>45000000</v>
      </c>
      <c r="C80" s="1">
        <f>Channels!B80*cable_length</f>
        <v>-17.497429062007249</v>
      </c>
      <c r="D80" s="1">
        <f>Channels!C80*PCB_trace_length</f>
        <v>-1.2477343424576199</v>
      </c>
      <c r="E80" s="1">
        <f>Calculate[[#This Row],[IL_Cable]]+Calculate[[#This Row],[IL_PCB]]</f>
        <v>-18.745163404464869</v>
      </c>
      <c r="F80" s="2">
        <f>Masks!A80</f>
        <v>-98.293427311980494</v>
      </c>
      <c r="G80" s="2">
        <f>Masks!B80</f>
        <v>-98.293427311980494</v>
      </c>
      <c r="H80" s="2">
        <f>Calculate[[#This Row],[Tx_PSD_us]]+Calculate[[#This Row],[IL]]</f>
        <v>-117.03859071644536</v>
      </c>
      <c r="I80" s="2">
        <f>Calculate[[#This Row],[Tx_PSD_ds]]+Calculate[[#This Row],[IL]]</f>
        <v>-117.03859071644536</v>
      </c>
      <c r="J80" s="2">
        <f>Masks[[#This Row],[channel_echo]]</f>
        <v>-11.97749548911446</v>
      </c>
      <c r="K80" s="2">
        <f>Masks[[#This Row],[channel_echo]]</f>
        <v>-11.97749548911446</v>
      </c>
      <c r="L80" s="2">
        <f>Calculate[[#This Row],[Echo_transfer_us]]+Calculate[[#This Row],[Tx_PSD_ds]]</f>
        <v>-110.27092280109495</v>
      </c>
      <c r="M80" s="2">
        <f>Calculate[[#This Row],[Echo_transfer_ds]]+Calculate[[#This Row],[Tx_PSD_us]]</f>
        <v>-110.27092280109495</v>
      </c>
      <c r="N80" s="2">
        <f t="shared" si="10"/>
        <v>-140</v>
      </c>
      <c r="O80" s="2">
        <f t="shared" si="11"/>
        <v>-140</v>
      </c>
      <c r="P80" s="2">
        <f t="shared" si="12"/>
        <v>6</v>
      </c>
      <c r="Q80" s="2">
        <f t="shared" si="13"/>
        <v>6</v>
      </c>
      <c r="R80" s="2">
        <f>10*LOG10((10^(Calculate[[#This Row],[Rx_echo_us]]/10))-(10^((Masks[[#This Row],[connector_echo]]+Calculate[[#This Row],[Tx_PSD_ds]])/10))*EC_conector_ratio_us)-Calculate[[#This Row],[EC_cancelation_us]]</f>
        <v>-145.93424105865503</v>
      </c>
      <c r="S80" s="2">
        <f>10*LOG10((10^(Calculate[[#This Row],[Rx_echo_ds]]/10))-(10^((Masks[[#This Row],[connector_echo]]+Calculate[[#This Row],[Tx_PSD_us]])/10))*EC_conector_ratio_ds)-Calculate[[#This Row],[EC_cancelation_ds]]</f>
        <v>-145.93424105865503</v>
      </c>
      <c r="T80" s="1">
        <f>(POWER(10,Calculate[[#This Row],[AFE_noise_us]]/10)+POWER(10,Calculate[[#This Row],[Echo_res_us]]/10))</f>
        <v>1.255020970490022E-14</v>
      </c>
      <c r="U80" s="1">
        <f>(POWER(10,Calculate[[#This Row],[AFE_noise_ds]]/10)+POWER(10,Calculate[[#This Row],[Echo_res_ds]]/10))</f>
        <v>1.255020970490022E-14</v>
      </c>
      <c r="V80" s="2">
        <f>10*LOG10(Calculate[[#This Row],[Linear_Noise_us]])</f>
        <v>-139.0134901737656</v>
      </c>
      <c r="W80" s="2">
        <f>10*LOG10(Calculate[[#This Row],[Linear_Noise_ds]])</f>
        <v>-139.0134901737656</v>
      </c>
      <c r="X80" s="2">
        <f>Calculate[[#This Row],[Rx_PSD_us]]-Calculate[[#This Row],[Noise_us]]</f>
        <v>21.974899457320248</v>
      </c>
      <c r="Y80" s="2">
        <f>Calculate[[#This Row],[Rx_PSD_ds]]-Calculate[[#This Row],[Noise_ds]]</f>
        <v>21.974899457320248</v>
      </c>
      <c r="Z80" s="2">
        <f>POWER(10,Calculate[[#This Row],[SNRdB_us]]/10)</f>
        <v>157.57595422157257</v>
      </c>
      <c r="AA80" s="2">
        <f>POWER(10,Calculate[[#This Row],[SNRdB_ds]]/10)</f>
        <v>157.57595422157257</v>
      </c>
      <c r="AB80" s="2">
        <f>-(0.002*Calculate[[#This Row],[Freq]]/1000000/2.5+0.68*(Calculate[[#This Row],[Freq]]/1000000/2.5)^0.45)</f>
        <v>-20.680668097102213</v>
      </c>
      <c r="AC80" s="2"/>
    </row>
    <row r="81" spans="1:29" x14ac:dyDescent="0.25">
      <c r="A81" s="33">
        <f t="shared" si="14"/>
        <v>3600000000</v>
      </c>
      <c r="B81" s="1">
        <f>Calculate[[#This Row],[Freq]]-A80</f>
        <v>45000000</v>
      </c>
      <c r="C81" s="1">
        <f>Channels!B81*cable_length</f>
        <v>-17.630711805188653</v>
      </c>
      <c r="D81" s="1">
        <f>Channels!C81*PCB_trace_length</f>
        <v>-1.262235592378911</v>
      </c>
      <c r="E81" s="1">
        <f>Calculate[[#This Row],[IL_Cable]]+Calculate[[#This Row],[IL_PCB]]</f>
        <v>-18.892947397567564</v>
      </c>
      <c r="F81" s="2">
        <f>Masks!A81</f>
        <v>-98.317745034665819</v>
      </c>
      <c r="G81" s="2">
        <f>Masks!B81</f>
        <v>-98.317745034665819</v>
      </c>
      <c r="H81" s="2">
        <f>Calculate[[#This Row],[Tx_PSD_us]]+Calculate[[#This Row],[IL]]</f>
        <v>-117.21069243223339</v>
      </c>
      <c r="I81" s="2">
        <f>Calculate[[#This Row],[Tx_PSD_ds]]+Calculate[[#This Row],[IL]]</f>
        <v>-117.21069243223339</v>
      </c>
      <c r="J81" s="2">
        <f>Masks[[#This Row],[channel_echo]]</f>
        <v>-11.925425296465097</v>
      </c>
      <c r="K81" s="2">
        <f>Masks[[#This Row],[channel_echo]]</f>
        <v>-11.925425296465097</v>
      </c>
      <c r="L81" s="2">
        <f>Calculate[[#This Row],[Echo_transfer_us]]+Calculate[[#This Row],[Tx_PSD_ds]]</f>
        <v>-110.24317033113091</v>
      </c>
      <c r="M81" s="2">
        <f>Calculate[[#This Row],[Echo_transfer_ds]]+Calculate[[#This Row],[Tx_PSD_us]]</f>
        <v>-110.24317033113091</v>
      </c>
      <c r="N81" s="2">
        <f t="shared" si="10"/>
        <v>-140</v>
      </c>
      <c r="O81" s="2">
        <f t="shared" si="11"/>
        <v>-140</v>
      </c>
      <c r="P81" s="2">
        <f t="shared" si="12"/>
        <v>6</v>
      </c>
      <c r="Q81" s="2">
        <f t="shared" si="13"/>
        <v>6</v>
      </c>
      <c r="R81" s="2">
        <f>10*LOG10((10^(Calculate[[#This Row],[Rx_echo_us]]/10))-(10^((Masks[[#This Row],[connector_echo]]+Calculate[[#This Row],[Tx_PSD_ds]])/10))*EC_conector_ratio_us)-Calculate[[#This Row],[EC_cancelation_us]]</f>
        <v>-145.95855878131746</v>
      </c>
      <c r="S81" s="2">
        <f>10*LOG10((10^(Calculate[[#This Row],[Rx_echo_ds]]/10))-(10^((Masks[[#This Row],[connector_echo]]+Calculate[[#This Row],[Tx_PSD_us]])/10))*EC_conector_ratio_ds)-Calculate[[#This Row],[EC_cancelation_ds]]</f>
        <v>-145.95855878131746</v>
      </c>
      <c r="T81" s="1">
        <f>(POWER(10,Calculate[[#This Row],[AFE_noise_us]]/10)+POWER(10,Calculate[[#This Row],[Echo_res_us]]/10))</f>
        <v>1.2535970059805756E-14</v>
      </c>
      <c r="U81" s="1">
        <f>(POWER(10,Calculate[[#This Row],[AFE_noise_ds]]/10)+POWER(10,Calculate[[#This Row],[Echo_res_ds]]/10))</f>
        <v>1.2535970059805756E-14</v>
      </c>
      <c r="V81" s="2">
        <f>10*LOG10(Calculate[[#This Row],[Linear_Noise_us]])</f>
        <v>-139.0184205378234</v>
      </c>
      <c r="W81" s="2">
        <f>10*LOG10(Calculate[[#This Row],[Linear_Noise_ds]])</f>
        <v>-139.0184205378234</v>
      </c>
      <c r="X81" s="2">
        <f>Calculate[[#This Row],[Rx_PSD_us]]-Calculate[[#This Row],[Noise_us]]</f>
        <v>21.807728105590016</v>
      </c>
      <c r="Y81" s="2">
        <f>Calculate[[#This Row],[Rx_PSD_ds]]-Calculate[[#This Row],[Noise_ds]]</f>
        <v>21.807728105590016</v>
      </c>
      <c r="Z81" s="2">
        <f>POWER(10,Calculate[[#This Row],[SNRdB_us]]/10)</f>
        <v>151.62569710294861</v>
      </c>
      <c r="AA81" s="2">
        <f>POWER(10,Calculate[[#This Row],[SNRdB_ds]]/10)</f>
        <v>151.62569710294861</v>
      </c>
      <c r="AB81" s="2">
        <f>-(0.002*Calculate[[#This Row],[Freq]]/1000000/2.5+0.68*(Calculate[[#This Row],[Freq]]/1000000/2.5)^0.45)</f>
        <v>-20.817917990319298</v>
      </c>
      <c r="AC81" s="2"/>
    </row>
    <row r="82" spans="1:29" x14ac:dyDescent="0.25">
      <c r="A82" s="33">
        <f t="shared" si="14"/>
        <v>3645000000</v>
      </c>
      <c r="B82" s="1">
        <f>Calculate[[#This Row],[Freq]]-A81</f>
        <v>45000000</v>
      </c>
      <c r="C82" s="1">
        <f>Channels!B82*cable_length</f>
        <v>-17.763448422176872</v>
      </c>
      <c r="D82" s="1">
        <f>Channels!C82*PCB_trace_length</f>
        <v>-1.2767288373939976</v>
      </c>
      <c r="E82" s="1">
        <f>Calculate[[#This Row],[IL_Cable]]+Calculate[[#This Row],[IL_PCB]]</f>
        <v>-19.040177259570868</v>
      </c>
      <c r="F82" s="2">
        <f>Masks!A82</f>
        <v>-98.342397495107846</v>
      </c>
      <c r="G82" s="2">
        <f>Masks!B82</f>
        <v>-98.342397495107846</v>
      </c>
      <c r="H82" s="2">
        <f>Calculate[[#This Row],[Tx_PSD_us]]+Calculate[[#This Row],[IL]]</f>
        <v>-117.38257475467871</v>
      </c>
      <c r="I82" s="2">
        <f>Calculate[[#This Row],[Tx_PSD_ds]]+Calculate[[#This Row],[IL]]</f>
        <v>-117.38257475467871</v>
      </c>
      <c r="J82" s="2">
        <f>Masks[[#This Row],[channel_echo]]</f>
        <v>-11.873972015628262</v>
      </c>
      <c r="K82" s="2">
        <f>Masks[[#This Row],[channel_echo]]</f>
        <v>-11.873972015628262</v>
      </c>
      <c r="L82" s="2">
        <f>Calculate[[#This Row],[Echo_transfer_us]]+Calculate[[#This Row],[Tx_PSD_ds]]</f>
        <v>-110.21636951073611</v>
      </c>
      <c r="M82" s="2">
        <f>Calculate[[#This Row],[Echo_transfer_ds]]+Calculate[[#This Row],[Tx_PSD_us]]</f>
        <v>-110.21636951073611</v>
      </c>
      <c r="N82" s="2">
        <f t="shared" si="10"/>
        <v>-140</v>
      </c>
      <c r="O82" s="2">
        <f t="shared" si="11"/>
        <v>-140</v>
      </c>
      <c r="P82" s="2">
        <f t="shared" si="12"/>
        <v>6</v>
      </c>
      <c r="Q82" s="2">
        <f t="shared" si="13"/>
        <v>6</v>
      </c>
      <c r="R82" s="2">
        <f>10*LOG10((10^(Calculate[[#This Row],[Rx_echo_us]]/10))-(10^((Masks[[#This Row],[connector_echo]]+Calculate[[#This Row],[Tx_PSD_ds]])/10))*EC_conector_ratio_us)-Calculate[[#This Row],[EC_cancelation_us]]</f>
        <v>-145.98321124177559</v>
      </c>
      <c r="S82" s="2">
        <f>10*LOG10((10^(Calculate[[#This Row],[Rx_echo_ds]]/10))-(10^((Masks[[#This Row],[connector_echo]]+Calculate[[#This Row],[Tx_PSD_us]])/10))*EC_conector_ratio_ds)-Calculate[[#This Row],[EC_cancelation_ds]]</f>
        <v>-145.98321124177559</v>
      </c>
      <c r="T82" s="1">
        <f>(POWER(10,Calculate[[#This Row],[AFE_noise_us]]/10)+POWER(10,Calculate[[#This Row],[Echo_res_us]]/10))</f>
        <v>1.2521615560735536E-14</v>
      </c>
      <c r="U82" s="1">
        <f>(POWER(10,Calculate[[#This Row],[AFE_noise_ds]]/10)+POWER(10,Calculate[[#This Row],[Echo_res_ds]]/10))</f>
        <v>1.2521615560735536E-14</v>
      </c>
      <c r="V82" s="2">
        <f>10*LOG10(Calculate[[#This Row],[Linear_Noise_us]])</f>
        <v>-139.02339634077029</v>
      </c>
      <c r="W82" s="2">
        <f>10*LOG10(Calculate[[#This Row],[Linear_Noise_ds]])</f>
        <v>-139.02339634077029</v>
      </c>
      <c r="X82" s="2">
        <f>Calculate[[#This Row],[Rx_PSD_us]]-Calculate[[#This Row],[Noise_us]]</f>
        <v>21.640821586091576</v>
      </c>
      <c r="Y82" s="2">
        <f>Calculate[[#This Row],[Rx_PSD_ds]]-Calculate[[#This Row],[Noise_ds]]</f>
        <v>21.640821586091576</v>
      </c>
      <c r="Z82" s="2">
        <f>POWER(10,Calculate[[#This Row],[SNRdB_us]]/10)</f>
        <v>145.90902607616292</v>
      </c>
      <c r="AA82" s="2">
        <f>POWER(10,Calculate[[#This Row],[SNRdB_ds]]/10)</f>
        <v>145.90902607616292</v>
      </c>
      <c r="AB82" s="2">
        <f>-(0.002*Calculate[[#This Row],[Freq]]/1000000/2.5+0.68*(Calculate[[#This Row],[Freq]]/1000000/2.5)^0.45)</f>
        <v>-20.954474154910301</v>
      </c>
      <c r="AC82" s="2"/>
    </row>
    <row r="83" spans="1:29" x14ac:dyDescent="0.25">
      <c r="A83" s="33">
        <f t="shared" si="14"/>
        <v>3690000000</v>
      </c>
      <c r="B83" s="1">
        <f>Calculate[[#This Row],[Freq]]-A82</f>
        <v>45000000</v>
      </c>
      <c r="C83" s="1">
        <f>Channels!B83*cable_length</f>
        <v>-17.895648995783404</v>
      </c>
      <c r="D83" s="1">
        <f>Channels!C83*PCB_trace_length</f>
        <v>-1.2912142252928245</v>
      </c>
      <c r="E83" s="1">
        <f>Calculate[[#This Row],[IL_Cable]]+Calculate[[#This Row],[IL_PCB]]</f>
        <v>-19.18686322107623</v>
      </c>
      <c r="F83" s="2">
        <f>Masks!A83</f>
        <v>-98.367385874233491</v>
      </c>
      <c r="G83" s="2">
        <f>Masks!B83</f>
        <v>-98.367385874233491</v>
      </c>
      <c r="H83" s="2">
        <f>Calculate[[#This Row],[Tx_PSD_us]]+Calculate[[#This Row],[IL]]</f>
        <v>-117.55424909530973</v>
      </c>
      <c r="I83" s="2">
        <f>Calculate[[#This Row],[Tx_PSD_ds]]+Calculate[[#This Row],[IL]]</f>
        <v>-117.55424909530973</v>
      </c>
      <c r="J83" s="2">
        <f>Masks[[#This Row],[channel_echo]]</f>
        <v>-11.823121199633064</v>
      </c>
      <c r="K83" s="2">
        <f>Masks[[#This Row],[channel_echo]]</f>
        <v>-11.823121199633064</v>
      </c>
      <c r="L83" s="2">
        <f>Calculate[[#This Row],[Echo_transfer_us]]+Calculate[[#This Row],[Tx_PSD_ds]]</f>
        <v>-110.19050707386656</v>
      </c>
      <c r="M83" s="2">
        <f>Calculate[[#This Row],[Echo_transfer_ds]]+Calculate[[#This Row],[Tx_PSD_us]]</f>
        <v>-110.19050707386656</v>
      </c>
      <c r="N83" s="2">
        <f t="shared" si="10"/>
        <v>-140</v>
      </c>
      <c r="O83" s="2">
        <f t="shared" si="11"/>
        <v>-140</v>
      </c>
      <c r="P83" s="2">
        <f t="shared" si="12"/>
        <v>6</v>
      </c>
      <c r="Q83" s="2">
        <f t="shared" si="13"/>
        <v>6</v>
      </c>
      <c r="R83" s="2">
        <f>10*LOG10((10^(Calculate[[#This Row],[Rx_echo_us]]/10))-(10^((Masks[[#This Row],[connector_echo]]+Calculate[[#This Row],[Tx_PSD_ds]])/10))*EC_conector_ratio_us)-Calculate[[#This Row],[EC_cancelation_us]]</f>
        <v>-146.00819962091217</v>
      </c>
      <c r="S83" s="2">
        <f>10*LOG10((10^(Calculate[[#This Row],[Rx_echo_ds]]/10))-(10^((Masks[[#This Row],[connector_echo]]+Calculate[[#This Row],[Tx_PSD_us]])/10))*EC_conector_ratio_ds)-Calculate[[#This Row],[EC_cancelation_ds]]</f>
        <v>-146.00819962091217</v>
      </c>
      <c r="T83" s="1">
        <f>(POWER(10,Calculate[[#This Row],[AFE_noise_us]]/10)+POWER(10,Calculate[[#This Row],[Echo_res_us]]/10))</f>
        <v>1.2507148382523253E-14</v>
      </c>
      <c r="U83" s="1">
        <f>(POWER(10,Calculate[[#This Row],[AFE_noise_ds]]/10)+POWER(10,Calculate[[#This Row],[Echo_res_ds]]/10))</f>
        <v>1.2507148382523253E-14</v>
      </c>
      <c r="V83" s="2">
        <f>10*LOG10(Calculate[[#This Row],[Linear_Noise_us]])</f>
        <v>-139.02841697733092</v>
      </c>
      <c r="W83" s="2">
        <f>10*LOG10(Calculate[[#This Row],[Linear_Noise_ds]])</f>
        <v>-139.02841697733092</v>
      </c>
      <c r="X83" s="2">
        <f>Calculate[[#This Row],[Rx_PSD_us]]-Calculate[[#This Row],[Noise_us]]</f>
        <v>21.474167882021192</v>
      </c>
      <c r="Y83" s="2">
        <f>Calculate[[#This Row],[Rx_PSD_ds]]-Calculate[[#This Row],[Noise_ds]]</f>
        <v>21.474167882021192</v>
      </c>
      <c r="Z83" s="2">
        <f>POWER(10,Calculate[[#This Row],[SNRdB_us]]/10)</f>
        <v>140.4160617474781</v>
      </c>
      <c r="AA83" s="2">
        <f>POWER(10,Calculate[[#This Row],[SNRdB_ds]]/10)</f>
        <v>140.4160617474781</v>
      </c>
      <c r="AB83" s="2">
        <f>-(0.002*Calculate[[#This Row],[Freq]]/1000000/2.5+0.68*(Calculate[[#This Row],[Freq]]/1000000/2.5)^0.45)</f>
        <v>-21.090349821635208</v>
      </c>
      <c r="AC83" s="2"/>
    </row>
    <row r="84" spans="1:29" x14ac:dyDescent="0.25">
      <c r="A84" s="33">
        <f t="shared" si="14"/>
        <v>3735000000</v>
      </c>
      <c r="B84" s="1">
        <f>Calculate[[#This Row],[Freq]]-A83</f>
        <v>45000000</v>
      </c>
      <c r="C84" s="1">
        <f>Channels!B84*cable_length</f>
        <v>-18.02732330233119</v>
      </c>
      <c r="D84" s="1">
        <f>Channels!C84*PCB_trace_length</f>
        <v>-1.3056918993729472</v>
      </c>
      <c r="E84" s="1">
        <f>Calculate[[#This Row],[IL_Cable]]+Calculate[[#This Row],[IL_PCB]]</f>
        <v>-19.333015201704136</v>
      </c>
      <c r="F84" s="2">
        <f>Masks!A84</f>
        <v>-98.392711374324051</v>
      </c>
      <c r="G84" s="2">
        <f>Masks!B84</f>
        <v>-98.392711374324051</v>
      </c>
      <c r="H84" s="2">
        <f>Calculate[[#This Row],[Tx_PSD_us]]+Calculate[[#This Row],[IL]]</f>
        <v>-117.72572657602819</v>
      </c>
      <c r="I84" s="2">
        <f>Calculate[[#This Row],[Tx_PSD_ds]]+Calculate[[#This Row],[IL]]</f>
        <v>-117.72572657602819</v>
      </c>
      <c r="J84" s="2">
        <f>Masks[[#This Row],[channel_echo]]</f>
        <v>-11.77285890312411</v>
      </c>
      <c r="K84" s="2">
        <f>Masks[[#This Row],[channel_echo]]</f>
        <v>-11.77285890312411</v>
      </c>
      <c r="L84" s="2">
        <f>Calculate[[#This Row],[Echo_transfer_us]]+Calculate[[#This Row],[Tx_PSD_ds]]</f>
        <v>-110.16557027744815</v>
      </c>
      <c r="M84" s="2">
        <f>Calculate[[#This Row],[Echo_transfer_ds]]+Calculate[[#This Row],[Tx_PSD_us]]</f>
        <v>-110.16557027744815</v>
      </c>
      <c r="N84" s="2">
        <f t="shared" si="10"/>
        <v>-140</v>
      </c>
      <c r="O84" s="2">
        <f t="shared" si="11"/>
        <v>-140</v>
      </c>
      <c r="P84" s="2">
        <f t="shared" si="12"/>
        <v>6</v>
      </c>
      <c r="Q84" s="2">
        <f t="shared" si="13"/>
        <v>6</v>
      </c>
      <c r="R84" s="2">
        <f>10*LOG10((10^(Calculate[[#This Row],[Rx_echo_us]]/10))-(10^((Masks[[#This Row],[connector_echo]]+Calculate[[#This Row],[Tx_PSD_ds]])/10))*EC_conector_ratio_us)-Calculate[[#This Row],[EC_cancelation_us]]</f>
        <v>-146.03352512099016</v>
      </c>
      <c r="S84" s="2">
        <f>10*LOG10((10^(Calculate[[#This Row],[Rx_echo_ds]]/10))-(10^((Masks[[#This Row],[connector_echo]]+Calculate[[#This Row],[Tx_PSD_us]])/10))*EC_conector_ratio_ds)-Calculate[[#This Row],[EC_cancelation_ds]]</f>
        <v>-146.03352512099016</v>
      </c>
      <c r="T84" s="1">
        <f>(POWER(10,Calculate[[#This Row],[AFE_noise_us]]/10)+POWER(10,Calculate[[#This Row],[Echo_res_us]]/10))</f>
        <v>1.2492570713129563E-14</v>
      </c>
      <c r="U84" s="1">
        <f>(POWER(10,Calculate[[#This Row],[AFE_noise_ds]]/10)+POWER(10,Calculate[[#This Row],[Echo_res_ds]]/10))</f>
        <v>1.2492570713129563E-14</v>
      </c>
      <c r="V84" s="2">
        <f>10*LOG10(Calculate[[#This Row],[Linear_Noise_us]])</f>
        <v>-139.03348183591595</v>
      </c>
      <c r="W84" s="2">
        <f>10*LOG10(Calculate[[#This Row],[Linear_Noise_ds]])</f>
        <v>-139.03348183591595</v>
      </c>
      <c r="X84" s="2">
        <f>Calculate[[#This Row],[Rx_PSD_us]]-Calculate[[#This Row],[Noise_us]]</f>
        <v>21.307755259887756</v>
      </c>
      <c r="Y84" s="2">
        <f>Calculate[[#This Row],[Rx_PSD_ds]]-Calculate[[#This Row],[Noise_ds]]</f>
        <v>21.307755259887756</v>
      </c>
      <c r="Z84" s="2">
        <f>POWER(10,Calculate[[#This Row],[SNRdB_us]]/10)</f>
        <v>135.13738973317103</v>
      </c>
      <c r="AA84" s="2">
        <f>POWER(10,Calculate[[#This Row],[SNRdB_ds]]/10)</f>
        <v>135.13738973317103</v>
      </c>
      <c r="AB84" s="2">
        <f>-(0.002*Calculate[[#This Row],[Freq]]/1000000/2.5+0.68*(Calculate[[#This Row],[Freq]]/1000000/2.5)^0.45)</f>
        <v>-21.22555781115846</v>
      </c>
      <c r="AC84" s="2"/>
    </row>
    <row r="85" spans="1:29" x14ac:dyDescent="0.25">
      <c r="A85" s="33">
        <f t="shared" si="14"/>
        <v>3780000000</v>
      </c>
      <c r="B85" s="1">
        <f>Calculate[[#This Row],[Freq]]-A84</f>
        <v>45000000</v>
      </c>
      <c r="C85" s="1">
        <f>Channels!B85*cable_length</f>
        <v>-18.15848082454109</v>
      </c>
      <c r="D85" s="1">
        <f>Channels!C85*PCB_trace_length</f>
        <v>-1.320161998628415</v>
      </c>
      <c r="E85" s="1">
        <f>Calculate[[#This Row],[IL_Cable]]+Calculate[[#This Row],[IL_PCB]]</f>
        <v>-19.478642823169505</v>
      </c>
      <c r="F85" s="2">
        <f>Masks!A85</f>
        <v>-98.41837521931383</v>
      </c>
      <c r="G85" s="2">
        <f>Masks!B85</f>
        <v>-98.41837521931383</v>
      </c>
      <c r="H85" s="2">
        <f>Calculate[[#This Row],[Tx_PSD_us]]+Calculate[[#This Row],[IL]]</f>
        <v>-117.89701804248334</v>
      </c>
      <c r="I85" s="2">
        <f>Calculate[[#This Row],[Tx_PSD_ds]]+Calculate[[#This Row],[IL]]</f>
        <v>-117.89701804248334</v>
      </c>
      <c r="J85" s="2">
        <f>Masks[[#This Row],[channel_echo]]</f>
        <v>-11.723171659404736</v>
      </c>
      <c r="K85" s="2">
        <f>Masks[[#This Row],[channel_echo]]</f>
        <v>-11.723171659404736</v>
      </c>
      <c r="L85" s="2">
        <f>Calculate[[#This Row],[Echo_transfer_us]]+Calculate[[#This Row],[Tx_PSD_ds]]</f>
        <v>-110.14154687871857</v>
      </c>
      <c r="M85" s="2">
        <f>Calculate[[#This Row],[Echo_transfer_ds]]+Calculate[[#This Row],[Tx_PSD_us]]</f>
        <v>-110.14154687871857</v>
      </c>
      <c r="N85" s="2">
        <f t="shared" si="10"/>
        <v>-140</v>
      </c>
      <c r="O85" s="2">
        <f t="shared" si="11"/>
        <v>-140</v>
      </c>
      <c r="P85" s="2">
        <f t="shared" si="12"/>
        <v>6</v>
      </c>
      <c r="Q85" s="2">
        <f t="shared" si="13"/>
        <v>6</v>
      </c>
      <c r="R85" s="2">
        <f>10*LOG10((10^(Calculate[[#This Row],[Rx_echo_us]]/10))-(10^((Masks[[#This Row],[connector_echo]]+Calculate[[#This Row],[Tx_PSD_ds]])/10))*EC_conector_ratio_us)-Calculate[[#This Row],[EC_cancelation_us]]</f>
        <v>-146.05918896599511</v>
      </c>
      <c r="S85" s="2">
        <f>10*LOG10((10^(Calculate[[#This Row],[Rx_echo_ds]]/10))-(10^((Masks[[#This Row],[connector_echo]]+Calculate[[#This Row],[Tx_PSD_us]])/10))*EC_conector_ratio_ds)-Calculate[[#This Row],[EC_cancelation_ds]]</f>
        <v>-146.05918896599511</v>
      </c>
      <c r="T85" s="1">
        <f>(POWER(10,Calculate[[#This Row],[AFE_noise_us]]/10)+POWER(10,Calculate[[#This Row],[Echo_res_us]]/10))</f>
        <v>1.2477884753164075E-14</v>
      </c>
      <c r="U85" s="1">
        <f>(POWER(10,Calculate[[#This Row],[AFE_noise_ds]]/10)+POWER(10,Calculate[[#This Row],[Echo_res_ds]]/10))</f>
        <v>1.2477884753164075E-14</v>
      </c>
      <c r="V85" s="2">
        <f>10*LOG10(Calculate[[#This Row],[Linear_Noise_us]])</f>
        <v>-139.03859029868985</v>
      </c>
      <c r="W85" s="2">
        <f>10*LOG10(Calculate[[#This Row],[Linear_Noise_ds]])</f>
        <v>-139.03859029868985</v>
      </c>
      <c r="X85" s="2">
        <f>Calculate[[#This Row],[Rx_PSD_us]]-Calculate[[#This Row],[Noise_us]]</f>
        <v>21.141572256206516</v>
      </c>
      <c r="Y85" s="2">
        <f>Calculate[[#This Row],[Rx_PSD_ds]]-Calculate[[#This Row],[Noise_ds]]</f>
        <v>21.141572256206516</v>
      </c>
      <c r="Z85" s="2">
        <f>POWER(10,Calculate[[#This Row],[SNRdB_us]]/10)</f>
        <v>130.06403576182302</v>
      </c>
      <c r="AA85" s="2">
        <f>POWER(10,Calculate[[#This Row],[SNRdB_ds]]/10)</f>
        <v>130.06403576182302</v>
      </c>
      <c r="AB85" s="2">
        <f>-(0.002*Calculate[[#This Row],[Freq]]/1000000/2.5+0.68*(Calculate[[#This Row],[Freq]]/1000000/2.5)^0.45)</f>
        <v>-21.360110551532717</v>
      </c>
      <c r="AC85" s="2"/>
    </row>
    <row r="86" spans="1:29" x14ac:dyDescent="0.25">
      <c r="A86" s="33">
        <f t="shared" si="14"/>
        <v>3825000000</v>
      </c>
      <c r="B86" s="1">
        <f>Calculate[[#This Row],[Freq]]-A85</f>
        <v>45000000</v>
      </c>
      <c r="C86" s="1">
        <f>Channels!B86*cable_length</f>
        <v>-18.289130763729958</v>
      </c>
      <c r="D86" s="1">
        <f>Channels!C86*PCB_trace_length</f>
        <v>-1.3346246579285659</v>
      </c>
      <c r="E86" s="1">
        <f>Calculate[[#This Row],[IL_Cable]]+Calculate[[#This Row],[IL_PCB]]</f>
        <v>-19.623755421658522</v>
      </c>
      <c r="F86" s="2">
        <f>Masks!A86</f>
        <v>-98.44437865509596</v>
      </c>
      <c r="G86" s="2">
        <f>Masks!B86</f>
        <v>-98.44437865509596</v>
      </c>
      <c r="H86" s="2">
        <f>Calculate[[#This Row],[Tx_PSD_us]]+Calculate[[#This Row],[IL]]</f>
        <v>-118.06813407675449</v>
      </c>
      <c r="I86" s="2">
        <f>Calculate[[#This Row],[Tx_PSD_ds]]+Calculate[[#This Row],[IL]]</f>
        <v>-118.06813407675449</v>
      </c>
      <c r="J86" s="2">
        <f>Masks[[#This Row],[channel_echo]]</f>
        <v>-11.67404645877868</v>
      </c>
      <c r="K86" s="2">
        <f>Masks[[#This Row],[channel_echo]]</f>
        <v>-11.67404645877868</v>
      </c>
      <c r="L86" s="2">
        <f>Calculate[[#This Row],[Echo_transfer_us]]+Calculate[[#This Row],[Tx_PSD_ds]]</f>
        <v>-110.11842511387464</v>
      </c>
      <c r="M86" s="2">
        <f>Calculate[[#This Row],[Echo_transfer_ds]]+Calculate[[#This Row],[Tx_PSD_us]]</f>
        <v>-110.11842511387464</v>
      </c>
      <c r="N86" s="2">
        <f t="shared" si="10"/>
        <v>-140</v>
      </c>
      <c r="O86" s="2">
        <f t="shared" si="11"/>
        <v>-140</v>
      </c>
      <c r="P86" s="2">
        <f t="shared" si="12"/>
        <v>6</v>
      </c>
      <c r="Q86" s="2">
        <f t="shared" si="13"/>
        <v>6</v>
      </c>
      <c r="R86" s="2">
        <f>10*LOG10((10^(Calculate[[#This Row],[Rx_echo_us]]/10))-(10^((Masks[[#This Row],[connector_echo]]+Calculate[[#This Row],[Tx_PSD_ds]])/10))*EC_conector_ratio_us)-Calculate[[#This Row],[EC_cancelation_us]]</f>
        <v>-146.08519240174527</v>
      </c>
      <c r="S86" s="2">
        <f>10*LOG10((10^(Calculate[[#This Row],[Rx_echo_ds]]/10))-(10^((Masks[[#This Row],[connector_echo]]+Calculate[[#This Row],[Tx_PSD_us]])/10))*EC_conector_ratio_ds)-Calculate[[#This Row],[EC_cancelation_ds]]</f>
        <v>-146.08519240174527</v>
      </c>
      <c r="T86" s="1">
        <f>(POWER(10,Calculate[[#This Row],[AFE_noise_us]]/10)+POWER(10,Calculate[[#This Row],[Echo_res_us]]/10))</f>
        <v>1.2463092715542008E-14</v>
      </c>
      <c r="U86" s="1">
        <f>(POWER(10,Calculate[[#This Row],[AFE_noise_ds]]/10)+POWER(10,Calculate[[#This Row],[Echo_res_ds]]/10))</f>
        <v>1.2463092715542008E-14</v>
      </c>
      <c r="V86" s="2">
        <f>10*LOG10(Calculate[[#This Row],[Linear_Noise_us]])</f>
        <v>-139.04374174159273</v>
      </c>
      <c r="W86" s="2">
        <f>10*LOG10(Calculate[[#This Row],[Linear_Noise_ds]])</f>
        <v>-139.04374174159273</v>
      </c>
      <c r="X86" s="2">
        <f>Calculate[[#This Row],[Rx_PSD_us]]-Calculate[[#This Row],[Noise_us]]</f>
        <v>20.975607664838236</v>
      </c>
      <c r="Y86" s="2">
        <f>Calculate[[#This Row],[Rx_PSD_ds]]-Calculate[[#This Row],[Noise_ds]]</f>
        <v>20.975607664838236</v>
      </c>
      <c r="Z86" s="2">
        <f>POWER(10,Calculate[[#This Row],[SNRdB_us]]/10)</f>
        <v>125.18744230469747</v>
      </c>
      <c r="AA86" s="2">
        <f>POWER(10,Calculate[[#This Row],[SNRdB_ds]]/10)</f>
        <v>125.18744230469747</v>
      </c>
      <c r="AB86" s="2">
        <f>-(0.002*Calculate[[#This Row],[Freq]]/1000000/2.5+0.68*(Calculate[[#This Row],[Freq]]/1000000/2.5)^0.45)</f>
        <v>-21.494020094738477</v>
      </c>
      <c r="AC86" s="2"/>
    </row>
    <row r="87" spans="1:29" x14ac:dyDescent="0.25">
      <c r="A87" s="33">
        <f t="shared" si="14"/>
        <v>3870000000</v>
      </c>
      <c r="B87" s="1">
        <f>Calculate[[#This Row],[Freq]]-A86</f>
        <v>45000000</v>
      </c>
      <c r="C87" s="1">
        <f>Channels!B87*cable_length</f>
        <v>-18.419282051364839</v>
      </c>
      <c r="D87" s="1">
        <f>Channels!C87*PCB_trace_length</f>
        <v>-1.3490800081873848</v>
      </c>
      <c r="E87" s="1">
        <f>Calculate[[#This Row],[IL_Cable]]+Calculate[[#This Row],[IL_PCB]]</f>
        <v>-19.768362059552224</v>
      </c>
      <c r="F87" s="2">
        <f>Masks!A87</f>
        <v>-98.470722949835647</v>
      </c>
      <c r="G87" s="2">
        <f>Masks!B87</f>
        <v>-98.470722949835647</v>
      </c>
      <c r="H87" s="2">
        <f>Calculate[[#This Row],[Tx_PSD_us]]+Calculate[[#This Row],[IL]]</f>
        <v>-118.23908500938788</v>
      </c>
      <c r="I87" s="2">
        <f>Calculate[[#This Row],[Tx_PSD_ds]]+Calculate[[#This Row],[IL]]</f>
        <v>-118.23908500938788</v>
      </c>
      <c r="J87" s="2">
        <f>Masks[[#This Row],[channel_echo]]</f>
        <v>-11.625470728103032</v>
      </c>
      <c r="K87" s="2">
        <f>Masks[[#This Row],[channel_echo]]</f>
        <v>-11.625470728103032</v>
      </c>
      <c r="L87" s="2">
        <f>Calculate[[#This Row],[Echo_transfer_us]]+Calculate[[#This Row],[Tx_PSD_ds]]</f>
        <v>-110.09619367793869</v>
      </c>
      <c r="M87" s="2">
        <f>Calculate[[#This Row],[Echo_transfer_ds]]+Calculate[[#This Row],[Tx_PSD_us]]</f>
        <v>-110.09619367793869</v>
      </c>
      <c r="N87" s="2">
        <f t="shared" si="10"/>
        <v>-140</v>
      </c>
      <c r="O87" s="2">
        <f t="shared" si="11"/>
        <v>-140</v>
      </c>
      <c r="P87" s="2">
        <f t="shared" si="12"/>
        <v>6</v>
      </c>
      <c r="Q87" s="2">
        <f t="shared" si="13"/>
        <v>6</v>
      </c>
      <c r="R87" s="2">
        <f>10*LOG10((10^(Calculate[[#This Row],[Rx_echo_us]]/10))-(10^((Masks[[#This Row],[connector_echo]]+Calculate[[#This Row],[Tx_PSD_ds]])/10))*EC_conector_ratio_us)-Calculate[[#This Row],[EC_cancelation_us]]</f>
        <v>-146.11153669651063</v>
      </c>
      <c r="S87" s="2">
        <f>10*LOG10((10^(Calculate[[#This Row],[Rx_echo_ds]]/10))-(10^((Masks[[#This Row],[connector_echo]]+Calculate[[#This Row],[Tx_PSD_us]])/10))*EC_conector_ratio_ds)-Calculate[[#This Row],[EC_cancelation_ds]]</f>
        <v>-146.11153669651063</v>
      </c>
      <c r="T87" s="1">
        <f>(POWER(10,Calculate[[#This Row],[AFE_noise_us]]/10)+POWER(10,Calculate[[#This Row],[Echo_res_us]]/10))</f>
        <v>1.2448196824852204E-14</v>
      </c>
      <c r="U87" s="1">
        <f>(POWER(10,Calculate[[#This Row],[AFE_noise_ds]]/10)+POWER(10,Calculate[[#This Row],[Echo_res_ds]]/10))</f>
        <v>1.2448196824852204E-14</v>
      </c>
      <c r="V87" s="2">
        <f>10*LOG10(Calculate[[#This Row],[Linear_Noise_us]])</f>
        <v>-139.04893553446334</v>
      </c>
      <c r="W87" s="2">
        <f>10*LOG10(Calculate[[#This Row],[Linear_Noise_ds]])</f>
        <v>-139.04893553446334</v>
      </c>
      <c r="X87" s="2">
        <f>Calculate[[#This Row],[Rx_PSD_us]]-Calculate[[#This Row],[Noise_us]]</f>
        <v>20.809850525075461</v>
      </c>
      <c r="Y87" s="2">
        <f>Calculate[[#This Row],[Rx_PSD_ds]]-Calculate[[#This Row],[Noise_ds]]</f>
        <v>20.809850525075461</v>
      </c>
      <c r="Z87" s="2">
        <f>POWER(10,Calculate[[#This Row],[SNRdB_us]]/10)</f>
        <v>120.49944663112058</v>
      </c>
      <c r="AA87" s="2">
        <f>POWER(10,Calculate[[#This Row],[SNRdB_ds]]/10)</f>
        <v>120.49944663112058</v>
      </c>
      <c r="AB87" s="2">
        <f>-(0.002*Calculate[[#This Row],[Freq]]/1000000/2.5+0.68*(Calculate[[#This Row],[Freq]]/1000000/2.5)^0.45)</f>
        <v>-21.627298132341259</v>
      </c>
      <c r="AC87" s="2"/>
    </row>
    <row r="88" spans="1:29" x14ac:dyDescent="0.25">
      <c r="A88" s="33">
        <f t="shared" si="14"/>
        <v>3915000000</v>
      </c>
      <c r="B88" s="1">
        <f>Calculate[[#This Row],[Freq]]-A87</f>
        <v>45000000</v>
      </c>
      <c r="C88" s="1">
        <f>Channels!B88*cable_length</f>
        <v>-18.548943360014206</v>
      </c>
      <c r="D88" s="1">
        <f>Channels!C88*PCB_trace_length</f>
        <v>-1.3635281765240217</v>
      </c>
      <c r="E88" s="1">
        <f>Calculate[[#This Row],[IL_Cable]]+Calculate[[#This Row],[IL_PCB]]</f>
        <v>-19.912471536538227</v>
      </c>
      <c r="F88" s="2">
        <f>Masks!A88</f>
        <v>-98.497409394291168</v>
      </c>
      <c r="G88" s="2">
        <f>Masks!B88</f>
        <v>-98.497409394291168</v>
      </c>
      <c r="H88" s="2">
        <f>Calculate[[#This Row],[Tx_PSD_us]]+Calculate[[#This Row],[IL]]</f>
        <v>-118.40988093082939</v>
      </c>
      <c r="I88" s="2">
        <f>Calculate[[#This Row],[Tx_PSD_ds]]+Calculate[[#This Row],[IL]]</f>
        <v>-118.40988093082939</v>
      </c>
      <c r="J88" s="2">
        <f>Masks[[#This Row],[channel_echo]]</f>
        <v>-11.577432311472126</v>
      </c>
      <c r="K88" s="2">
        <f>Masks[[#This Row],[channel_echo]]</f>
        <v>-11.577432311472126</v>
      </c>
      <c r="L88" s="2">
        <f>Calculate[[#This Row],[Echo_transfer_us]]+Calculate[[#This Row],[Tx_PSD_ds]]</f>
        <v>-110.07484170576329</v>
      </c>
      <c r="M88" s="2">
        <f>Calculate[[#This Row],[Echo_transfer_ds]]+Calculate[[#This Row],[Tx_PSD_us]]</f>
        <v>-110.07484170576329</v>
      </c>
      <c r="N88" s="2">
        <f t="shared" si="10"/>
        <v>-140</v>
      </c>
      <c r="O88" s="2">
        <f t="shared" si="11"/>
        <v>-140</v>
      </c>
      <c r="P88" s="2">
        <f t="shared" si="12"/>
        <v>6</v>
      </c>
      <c r="Q88" s="2">
        <f t="shared" si="13"/>
        <v>6</v>
      </c>
      <c r="R88" s="2">
        <f>10*LOG10((10^(Calculate[[#This Row],[Rx_echo_us]]/10))-(10^((Masks[[#This Row],[connector_echo]]+Calculate[[#This Row],[Tx_PSD_ds]])/10))*EC_conector_ratio_us)-Calculate[[#This Row],[EC_cancelation_us]]</f>
        <v>-146.13822314095614</v>
      </c>
      <c r="S88" s="2">
        <f>10*LOG10((10^(Calculate[[#This Row],[Rx_echo_ds]]/10))-(10^((Masks[[#This Row],[connector_echo]]+Calculate[[#This Row],[Tx_PSD_us]])/10))*EC_conector_ratio_ds)-Calculate[[#This Row],[EC_cancelation_ds]]</f>
        <v>-146.13822314095614</v>
      </c>
      <c r="T88" s="1">
        <f>(POWER(10,Calculate[[#This Row],[AFE_noise_us]]/10)+POWER(10,Calculate[[#This Row],[Echo_res_us]]/10))</f>
        <v>1.2433199317112684E-14</v>
      </c>
      <c r="U88" s="1">
        <f>(POWER(10,Calculate[[#This Row],[AFE_noise_ds]]/10)+POWER(10,Calculate[[#This Row],[Echo_res_ds]]/10))</f>
        <v>1.2433199317112684E-14</v>
      </c>
      <c r="V88" s="2">
        <f>10*LOG10(Calculate[[#This Row],[Linear_Noise_us]])</f>
        <v>-139.05417104102835</v>
      </c>
      <c r="W88" s="2">
        <f>10*LOG10(Calculate[[#This Row],[Linear_Noise_ds]])</f>
        <v>-139.05417104102835</v>
      </c>
      <c r="X88" s="2">
        <f>Calculate[[#This Row],[Rx_PSD_us]]-Calculate[[#This Row],[Noise_us]]</f>
        <v>20.644290110198966</v>
      </c>
      <c r="Y88" s="2">
        <f>Calculate[[#This Row],[Rx_PSD_ds]]-Calculate[[#This Row],[Noise_ds]]</f>
        <v>20.644290110198966</v>
      </c>
      <c r="Z88" s="2">
        <f>POWER(10,Calculate[[#This Row],[SNRdB_us]]/10)</f>
        <v>115.99226018287058</v>
      </c>
      <c r="AA88" s="2">
        <f>POWER(10,Calculate[[#This Row],[SNRdB_ds]]/10)</f>
        <v>115.99226018287058</v>
      </c>
      <c r="AB88" s="2">
        <f>-(0.002*Calculate[[#This Row],[Freq]]/1000000/2.5+0.68*(Calculate[[#This Row],[Freq]]/1000000/2.5)^0.45)</f>
        <v>-21.759956010322796</v>
      </c>
      <c r="AC88" s="2"/>
    </row>
    <row r="89" spans="1:29" x14ac:dyDescent="0.25">
      <c r="A89" s="33">
        <f t="shared" si="14"/>
        <v>3960000000</v>
      </c>
      <c r="B89" s="1">
        <f>Calculate[[#This Row],[Freq]]-A88</f>
        <v>45000000</v>
      </c>
      <c r="C89" s="1">
        <f>Channels!B89*cable_length</f>
        <v>-18.678123113734397</v>
      </c>
      <c r="D89" s="1">
        <f>Channels!C89*PCB_trace_length</f>
        <v>-1.3779692864150301</v>
      </c>
      <c r="E89" s="1">
        <f>Calculate[[#This Row],[IL_Cable]]+Calculate[[#This Row],[IL_PCB]]</f>
        <v>-20.056092400149428</v>
      </c>
      <c r="F89" s="2">
        <f>Masks!A89</f>
        <v>-98.524439302142625</v>
      </c>
      <c r="G89" s="2">
        <f>Masks!B89</f>
        <v>-98.524439302142625</v>
      </c>
      <c r="H89" s="2">
        <f>Calculate[[#This Row],[Tx_PSD_us]]+Calculate[[#This Row],[IL]]</f>
        <v>-118.58053170229205</v>
      </c>
      <c r="I89" s="2">
        <f>Calculate[[#This Row],[Tx_PSD_ds]]+Calculate[[#This Row],[IL]]</f>
        <v>-118.58053170229205</v>
      </c>
      <c r="J89" s="2">
        <f>Masks[[#This Row],[channel_echo]]</f>
        <v>-11.529919451958095</v>
      </c>
      <c r="K89" s="2">
        <f>Masks[[#This Row],[channel_echo]]</f>
        <v>-11.529919451958095</v>
      </c>
      <c r="L89" s="2">
        <f>Calculate[[#This Row],[Echo_transfer_us]]+Calculate[[#This Row],[Tx_PSD_ds]]</f>
        <v>-110.05435875410072</v>
      </c>
      <c r="M89" s="2">
        <f>Calculate[[#This Row],[Echo_transfer_ds]]+Calculate[[#This Row],[Tx_PSD_us]]</f>
        <v>-110.05435875410072</v>
      </c>
      <c r="N89" s="2">
        <f t="shared" si="10"/>
        <v>-140</v>
      </c>
      <c r="O89" s="2">
        <f t="shared" si="11"/>
        <v>-140</v>
      </c>
      <c r="P89" s="2">
        <f t="shared" si="12"/>
        <v>6</v>
      </c>
      <c r="Q89" s="2">
        <f t="shared" si="13"/>
        <v>6</v>
      </c>
      <c r="R89" s="2">
        <f>10*LOG10((10^(Calculate[[#This Row],[Rx_echo_us]]/10))-(10^((Masks[[#This Row],[connector_echo]]+Calculate[[#This Row],[Tx_PSD_ds]])/10))*EC_conector_ratio_us)-Calculate[[#This Row],[EC_cancelation_us]]</f>
        <v>-146.16525304882384</v>
      </c>
      <c r="S89" s="2">
        <f>10*LOG10((10^(Calculate[[#This Row],[Rx_echo_ds]]/10))-(10^((Masks[[#This Row],[connector_echo]]+Calculate[[#This Row],[Tx_PSD_us]])/10))*EC_conector_ratio_ds)-Calculate[[#This Row],[EC_cancelation_ds]]</f>
        <v>-146.16525304882384</v>
      </c>
      <c r="T89" s="1">
        <f>(POWER(10,Calculate[[#This Row],[AFE_noise_us]]/10)+POWER(10,Calculate[[#This Row],[Echo_res_us]]/10))</f>
        <v>1.2418102439109299E-14</v>
      </c>
      <c r="U89" s="1">
        <f>(POWER(10,Calculate[[#This Row],[AFE_noise_ds]]/10)+POWER(10,Calculate[[#This Row],[Echo_res_ds]]/10))</f>
        <v>1.2418102439109299E-14</v>
      </c>
      <c r="V89" s="2">
        <f>10*LOG10(Calculate[[#This Row],[Linear_Noise_us]])</f>
        <v>-139.05944761903757</v>
      </c>
      <c r="W89" s="2">
        <f>10*LOG10(Calculate[[#This Row],[Linear_Noise_ds]])</f>
        <v>-139.05944761903757</v>
      </c>
      <c r="X89" s="2">
        <f>Calculate[[#This Row],[Rx_PSD_us]]-Calculate[[#This Row],[Noise_us]]</f>
        <v>20.478915916745521</v>
      </c>
      <c r="Y89" s="2">
        <f>Calculate[[#This Row],[Rx_PSD_ds]]-Calculate[[#This Row],[Noise_ds]]</f>
        <v>20.478915916745521</v>
      </c>
      <c r="Z89" s="2">
        <f>POWER(10,Calculate[[#This Row],[SNRdB_us]]/10)</f>
        <v>111.65844918462116</v>
      </c>
      <c r="AA89" s="2">
        <f>POWER(10,Calculate[[#This Row],[SNRdB_ds]]/10)</f>
        <v>111.65844918462116</v>
      </c>
      <c r="AB89" s="2">
        <f>-(0.002*Calculate[[#This Row],[Freq]]/1000000/2.5+0.68*(Calculate[[#This Row],[Freq]]/1000000/2.5)^0.45)</f>
        <v>-21.892004743139157</v>
      </c>
      <c r="AC89" s="2"/>
    </row>
    <row r="90" spans="1:29" x14ac:dyDescent="0.25">
      <c r="A90" s="33">
        <f t="shared" si="14"/>
        <v>4005000000</v>
      </c>
      <c r="B90" s="1">
        <f>Calculate[[#This Row],[Freq]]-A89</f>
        <v>45000000</v>
      </c>
      <c r="C90" s="1">
        <f>Channels!B90*cable_length</f>
        <v>-18.806829497926316</v>
      </c>
      <c r="D90" s="1">
        <f>Channels!C90*PCB_trace_length</f>
        <v>-1.3924034578388467</v>
      </c>
      <c r="E90" s="1">
        <f>Calculate[[#This Row],[IL_Cable]]+Calculate[[#This Row],[IL_PCB]]</f>
        <v>-20.199232955765162</v>
      </c>
      <c r="F90" s="2">
        <f>Masks!A90</f>
        <v>-98.551814010328769</v>
      </c>
      <c r="G90" s="2">
        <f>Masks!B90</f>
        <v>-98.551814010328769</v>
      </c>
      <c r="H90" s="2">
        <f>Calculate[[#This Row],[Tx_PSD_us]]+Calculate[[#This Row],[IL]]</f>
        <v>-118.75104696609392</v>
      </c>
      <c r="I90" s="2">
        <f>Calculate[[#This Row],[Tx_PSD_ds]]+Calculate[[#This Row],[IL]]</f>
        <v>-118.75104696609392</v>
      </c>
      <c r="J90" s="2">
        <f>Masks[[#This Row],[channel_echo]]</f>
        <v>-11.482920774339444</v>
      </c>
      <c r="K90" s="2">
        <f>Masks[[#This Row],[channel_echo]]</f>
        <v>-11.482920774339444</v>
      </c>
      <c r="L90" s="2">
        <f>Calculate[[#This Row],[Echo_transfer_us]]+Calculate[[#This Row],[Tx_PSD_ds]]</f>
        <v>-110.03473478466822</v>
      </c>
      <c r="M90" s="2">
        <f>Calculate[[#This Row],[Echo_transfer_ds]]+Calculate[[#This Row],[Tx_PSD_us]]</f>
        <v>-110.03473478466822</v>
      </c>
      <c r="N90" s="2">
        <f t="shared" si="10"/>
        <v>-140</v>
      </c>
      <c r="O90" s="2">
        <f t="shared" si="11"/>
        <v>-140</v>
      </c>
      <c r="P90" s="2">
        <f t="shared" si="12"/>
        <v>6</v>
      </c>
      <c r="Q90" s="2">
        <f t="shared" si="13"/>
        <v>6</v>
      </c>
      <c r="R90" s="2">
        <f>10*LOG10((10^(Calculate[[#This Row],[Rx_echo_us]]/10))-(10^((Masks[[#This Row],[connector_echo]]+Calculate[[#This Row],[Tx_PSD_ds]])/10))*EC_conector_ratio_us)-Calculate[[#This Row],[EC_cancelation_us]]</f>
        <v>-146.19262775699715</v>
      </c>
      <c r="S90" s="2">
        <f>10*LOG10((10^(Calculate[[#This Row],[Rx_echo_ds]]/10))-(10^((Masks[[#This Row],[connector_echo]]+Calculate[[#This Row],[Tx_PSD_us]])/10))*EC_conector_ratio_ds)-Calculate[[#This Row],[EC_cancelation_ds]]</f>
        <v>-146.19262775699715</v>
      </c>
      <c r="T90" s="1">
        <f>(POWER(10,Calculate[[#This Row],[AFE_noise_us]]/10)+POWER(10,Calculate[[#This Row],[Echo_res_us]]/10))</f>
        <v>1.2402908448086703E-14</v>
      </c>
      <c r="U90" s="1">
        <f>(POWER(10,Calculate[[#This Row],[AFE_noise_ds]]/10)+POWER(10,Calculate[[#This Row],[Echo_res_ds]]/10))</f>
        <v>1.2402908448086703E-14</v>
      </c>
      <c r="V90" s="2">
        <f>10*LOG10(Calculate[[#This Row],[Linear_Noise_us]])</f>
        <v>-139.06476462027771</v>
      </c>
      <c r="W90" s="2">
        <f>10*LOG10(Calculate[[#This Row],[Linear_Noise_ds]])</f>
        <v>-139.06476462027771</v>
      </c>
      <c r="X90" s="2">
        <f>Calculate[[#This Row],[Rx_PSD_us]]-Calculate[[#This Row],[Noise_us]]</f>
        <v>20.31371765418379</v>
      </c>
      <c r="Y90" s="2">
        <f>Calculate[[#This Row],[Rx_PSD_ds]]-Calculate[[#This Row],[Noise_ds]]</f>
        <v>20.31371765418379</v>
      </c>
      <c r="Z90" s="2">
        <f>POWER(10,Calculate[[#This Row],[SNRdB_us]]/10)</f>
        <v>107.49091639876382</v>
      </c>
      <c r="AA90" s="2">
        <f>POWER(10,Calculate[[#This Row],[SNRdB_ds]]/10)</f>
        <v>107.49091639876382</v>
      </c>
      <c r="AB90" s="2">
        <f>-(0.002*Calculate[[#This Row],[Freq]]/1000000/2.5+0.68*(Calculate[[#This Row],[Freq]]/1000000/2.5)^0.45)</f>
        <v>-22.023455027053998</v>
      </c>
      <c r="AC90" s="2"/>
    </row>
    <row r="91" spans="1:29" x14ac:dyDescent="0.25">
      <c r="A91" s="33">
        <f t="shared" si="14"/>
        <v>4050000000</v>
      </c>
      <c r="B91" s="1">
        <f>Calculate[[#This Row],[Freq]]-A90</f>
        <v>45000000</v>
      </c>
      <c r="C91" s="1">
        <f>Channels!B91*cable_length</f>
        <v>-18.935070468695137</v>
      </c>
      <c r="D91" s="1">
        <f>Channels!C91*PCB_trace_length</f>
        <v>-1.4068308074129798</v>
      </c>
      <c r="E91" s="1">
        <f>Calculate[[#This Row],[IL_Cable]]+Calculate[[#This Row],[IL_PCB]]</f>
        <v>-20.341901276108118</v>
      </c>
      <c r="F91" s="2">
        <f>Masks!A91</f>
        <v>-98.579534879392043</v>
      </c>
      <c r="G91" s="2">
        <f>Masks!B91</f>
        <v>-98.579534879392043</v>
      </c>
      <c r="H91" s="2">
        <f>Calculate[[#This Row],[Tx_PSD_us]]+Calculate[[#This Row],[IL]]</f>
        <v>-118.92143615550016</v>
      </c>
      <c r="I91" s="2">
        <f>Calculate[[#This Row],[Tx_PSD_ds]]+Calculate[[#This Row],[IL]]</f>
        <v>-118.92143615550016</v>
      </c>
      <c r="J91" s="2">
        <f>Masks[[#This Row],[channel_echo]]</f>
        <v>-11.436425268754281</v>
      </c>
      <c r="K91" s="2">
        <f>Masks[[#This Row],[channel_echo]]</f>
        <v>-11.436425268754281</v>
      </c>
      <c r="L91" s="2">
        <f>Calculate[[#This Row],[Echo_transfer_us]]+Calculate[[#This Row],[Tx_PSD_ds]]</f>
        <v>-110.01596014814632</v>
      </c>
      <c r="M91" s="2">
        <f>Calculate[[#This Row],[Echo_transfer_ds]]+Calculate[[#This Row],[Tx_PSD_us]]</f>
        <v>-110.01596014814632</v>
      </c>
      <c r="N91" s="2">
        <f t="shared" si="10"/>
        <v>-140</v>
      </c>
      <c r="O91" s="2">
        <f t="shared" si="11"/>
        <v>-140</v>
      </c>
      <c r="P91" s="2">
        <f t="shared" si="12"/>
        <v>6</v>
      </c>
      <c r="Q91" s="2">
        <f t="shared" si="13"/>
        <v>6</v>
      </c>
      <c r="R91" s="2">
        <f>10*LOG10((10^(Calculate[[#This Row],[Rx_echo_us]]/10))-(10^((Masks[[#This Row],[connector_echo]]+Calculate[[#This Row],[Tx_PSD_ds]])/10))*EC_conector_ratio_us)-Calculate[[#This Row],[EC_cancelation_us]]</f>
        <v>-146.22034862606694</v>
      </c>
      <c r="S91" s="2">
        <f>10*LOG10((10^(Calculate[[#This Row],[Rx_echo_ds]]/10))-(10^((Masks[[#This Row],[connector_echo]]+Calculate[[#This Row],[Tx_PSD_us]])/10))*EC_conector_ratio_ds)-Calculate[[#This Row],[EC_cancelation_ds]]</f>
        <v>-146.22034862606694</v>
      </c>
      <c r="T91" s="1">
        <f>(POWER(10,Calculate[[#This Row],[AFE_noise_us]]/10)+POWER(10,Calculate[[#This Row],[Echo_res_us]]/10))</f>
        <v>1.2387619611160593E-14</v>
      </c>
      <c r="U91" s="1">
        <f>(POWER(10,Calculate[[#This Row],[AFE_noise_ds]]/10)+POWER(10,Calculate[[#This Row],[Echo_res_ds]]/10))</f>
        <v>1.2387619611160593E-14</v>
      </c>
      <c r="V91" s="2">
        <f>10*LOG10(Calculate[[#This Row],[Linear_Noise_us]])</f>
        <v>-139.07012139068425</v>
      </c>
      <c r="W91" s="2">
        <f>10*LOG10(Calculate[[#This Row],[Linear_Noise_ds]])</f>
        <v>-139.07012139068425</v>
      </c>
      <c r="X91" s="2">
        <f>Calculate[[#This Row],[Rx_PSD_us]]-Calculate[[#This Row],[Noise_us]]</f>
        <v>20.148685235184089</v>
      </c>
      <c r="Y91" s="2">
        <f>Calculate[[#This Row],[Rx_PSD_ds]]-Calculate[[#This Row],[Noise_ds]]</f>
        <v>20.148685235184089</v>
      </c>
      <c r="Z91" s="2">
        <f>POWER(10,Calculate[[#This Row],[SNRdB_us]]/10)</f>
        <v>103.48288395313449</v>
      </c>
      <c r="AA91" s="2">
        <f>POWER(10,Calculate[[#This Row],[SNRdB_ds]]/10)</f>
        <v>103.48288395313449</v>
      </c>
      <c r="AB91" s="2">
        <f>-(0.002*Calculate[[#This Row],[Freq]]/1000000/2.5+0.68*(Calculate[[#This Row],[Freq]]/1000000/2.5)^0.45)</f>
        <v>-22.15431725279235</v>
      </c>
      <c r="AC91" s="2"/>
    </row>
    <row r="92" spans="1:29" x14ac:dyDescent="0.25">
      <c r="A92" s="33">
        <f t="shared" si="14"/>
        <v>4095000000</v>
      </c>
      <c r="B92" s="1">
        <f>Calculate[[#This Row],[Freq]]-A91</f>
        <v>45000000</v>
      </c>
      <c r="C92" s="1">
        <f>Channels!B92*cable_length</f>
        <v>-19.06285376174333</v>
      </c>
      <c r="D92" s="1">
        <f>Channels!C92*PCB_trace_length</f>
        <v>-1.4212514485243593</v>
      </c>
      <c r="E92" s="1">
        <f>Calculate[[#This Row],[IL_Cable]]+Calculate[[#This Row],[IL_PCB]]</f>
        <v>-20.484105210267689</v>
      </c>
      <c r="F92" s="2">
        <f>Masks!A92</f>
        <v>-98.607603293832113</v>
      </c>
      <c r="G92" s="2">
        <f>Masks!B92</f>
        <v>-98.607603293832113</v>
      </c>
      <c r="H92" s="2">
        <f>Calculate[[#This Row],[Tx_PSD_us]]+Calculate[[#This Row],[IL]]</f>
        <v>-119.0917085040998</v>
      </c>
      <c r="I92" s="2">
        <f>Calculate[[#This Row],[Tx_PSD_ds]]+Calculate[[#This Row],[IL]]</f>
        <v>-119.0917085040998</v>
      </c>
      <c r="J92" s="2">
        <f>Masks[[#This Row],[channel_echo]]</f>
        <v>-11.390422275219274</v>
      </c>
      <c r="K92" s="2">
        <f>Masks[[#This Row],[channel_echo]]</f>
        <v>-11.390422275219274</v>
      </c>
      <c r="L92" s="2">
        <f>Calculate[[#This Row],[Echo_transfer_us]]+Calculate[[#This Row],[Tx_PSD_ds]]</f>
        <v>-109.99802556905139</v>
      </c>
      <c r="M92" s="2">
        <f>Calculate[[#This Row],[Echo_transfer_ds]]+Calculate[[#This Row],[Tx_PSD_us]]</f>
        <v>-109.99802556905139</v>
      </c>
      <c r="N92" s="2">
        <f t="shared" si="10"/>
        <v>-140</v>
      </c>
      <c r="O92" s="2">
        <f t="shared" si="11"/>
        <v>-140</v>
      </c>
      <c r="P92" s="2">
        <f t="shared" si="12"/>
        <v>6</v>
      </c>
      <c r="Q92" s="2">
        <f t="shared" si="13"/>
        <v>6</v>
      </c>
      <c r="R92" s="2">
        <f>10*LOG10((10^(Calculate[[#This Row],[Rx_echo_us]]/10))-(10^((Masks[[#This Row],[connector_echo]]+Calculate[[#This Row],[Tx_PSD_ds]])/10))*EC_conector_ratio_us)-Calculate[[#This Row],[EC_cancelation_us]]</f>
        <v>-146.24841704051809</v>
      </c>
      <c r="S92" s="2">
        <f>10*LOG10((10^(Calculate[[#This Row],[Rx_echo_ds]]/10))-(10^((Masks[[#This Row],[connector_echo]]+Calculate[[#This Row],[Tx_PSD_us]])/10))*EC_conector_ratio_ds)-Calculate[[#This Row],[EC_cancelation_ds]]</f>
        <v>-146.24841704051809</v>
      </c>
      <c r="T92" s="1">
        <f>(POWER(10,Calculate[[#This Row],[AFE_noise_us]]/10)+POWER(10,Calculate[[#This Row],[Echo_res_us]]/10))</f>
        <v>1.2372238204945219E-14</v>
      </c>
      <c r="U92" s="1">
        <f>(POWER(10,Calculate[[#This Row],[AFE_noise_ds]]/10)+POWER(10,Calculate[[#This Row],[Echo_res_ds]]/10))</f>
        <v>1.2372238204945219E-14</v>
      </c>
      <c r="V92" s="2">
        <f>10*LOG10(Calculate[[#This Row],[Linear_Noise_us]])</f>
        <v>-139.07551727037966</v>
      </c>
      <c r="W92" s="2">
        <f>10*LOG10(Calculate[[#This Row],[Linear_Noise_ds]])</f>
        <v>-139.07551727037966</v>
      </c>
      <c r="X92" s="2">
        <f>Calculate[[#This Row],[Rx_PSD_us]]-Calculate[[#This Row],[Noise_us]]</f>
        <v>19.983808766279864</v>
      </c>
      <c r="Y92" s="2">
        <f>Calculate[[#This Row],[Rx_PSD_ds]]-Calculate[[#This Row],[Noise_ds]]</f>
        <v>19.983808766279864</v>
      </c>
      <c r="Z92" s="2">
        <f>POWER(10,Calculate[[#This Row],[SNRdB_us]]/10)</f>
        <v>99.627877165478395</v>
      </c>
      <c r="AA92" s="2">
        <f>POWER(10,Calculate[[#This Row],[SNRdB_ds]]/10)</f>
        <v>99.627877165478395</v>
      </c>
      <c r="AB92" s="2">
        <f>-(0.002*Calculate[[#This Row],[Freq]]/1000000/2.5+0.68*(Calculate[[#This Row],[Freq]]/1000000/2.5)^0.45)</f>
        <v>-22.284601517556528</v>
      </c>
      <c r="AC92" s="2"/>
    </row>
    <row r="93" spans="1:29" x14ac:dyDescent="0.25">
      <c r="A93" s="33">
        <f t="shared" si="14"/>
        <v>4140000000</v>
      </c>
      <c r="B93" s="1">
        <f>Calculate[[#This Row],[Freq]]-A92</f>
        <v>45000000</v>
      </c>
      <c r="C93" s="1">
        <f>Channels!B93*cable_length</f>
        <v>-19.190186900825008</v>
      </c>
      <c r="D93" s="1">
        <f>Channels!C93*PCB_trace_length</f>
        <v>-1.4356654914532589</v>
      </c>
      <c r="E93" s="1">
        <f>Calculate[[#This Row],[IL_Cable]]+Calculate[[#This Row],[IL_PCB]]</f>
        <v>-20.625852392278269</v>
      </c>
      <c r="F93" s="2">
        <f>Masks!A93</f>
        <v>-98.636020662468042</v>
      </c>
      <c r="G93" s="2">
        <f>Masks!B93</f>
        <v>-98.636020662468042</v>
      </c>
      <c r="H93" s="2">
        <f>Calculate[[#This Row],[Tx_PSD_us]]+Calculate[[#This Row],[IL]]</f>
        <v>-119.2618730547463</v>
      </c>
      <c r="I93" s="2">
        <f>Calculate[[#This Row],[Tx_PSD_ds]]+Calculate[[#This Row],[IL]]</f>
        <v>-119.2618730547463</v>
      </c>
      <c r="J93" s="2">
        <f>Masks[[#This Row],[channel_echo]]</f>
        <v>-11.344901468960044</v>
      </c>
      <c r="K93" s="2">
        <f>Masks[[#This Row],[channel_echo]]</f>
        <v>-11.344901468960044</v>
      </c>
      <c r="L93" s="2">
        <f>Calculate[[#This Row],[Echo_transfer_us]]+Calculate[[#This Row],[Tx_PSD_ds]]</f>
        <v>-109.98092213142809</v>
      </c>
      <c r="M93" s="2">
        <f>Calculate[[#This Row],[Echo_transfer_ds]]+Calculate[[#This Row],[Tx_PSD_us]]</f>
        <v>-109.98092213142809</v>
      </c>
      <c r="N93" s="2">
        <f t="shared" si="10"/>
        <v>-140</v>
      </c>
      <c r="O93" s="2">
        <f t="shared" si="11"/>
        <v>-140</v>
      </c>
      <c r="P93" s="2">
        <f t="shared" si="12"/>
        <v>6</v>
      </c>
      <c r="Q93" s="2">
        <f t="shared" si="13"/>
        <v>6</v>
      </c>
      <c r="R93" s="2">
        <f>10*LOG10((10^(Calculate[[#This Row],[Rx_echo_us]]/10))-(10^((Masks[[#This Row],[connector_echo]]+Calculate[[#This Row],[Tx_PSD_ds]])/10))*EC_conector_ratio_us)-Calculate[[#This Row],[EC_cancelation_us]]</f>
        <v>-146.27683440914163</v>
      </c>
      <c r="S93" s="2">
        <f>10*LOG10((10^(Calculate[[#This Row],[Rx_echo_ds]]/10))-(10^((Masks[[#This Row],[connector_echo]]+Calculate[[#This Row],[Tx_PSD_us]])/10))*EC_conector_ratio_ds)-Calculate[[#This Row],[EC_cancelation_ds]]</f>
        <v>-146.27683440914163</v>
      </c>
      <c r="T93" s="1">
        <f>(POWER(10,Calculate[[#This Row],[AFE_noise_us]]/10)+POWER(10,Calculate[[#This Row],[Echo_res_us]]/10))</f>
        <v>1.2356766515058338E-14</v>
      </c>
      <c r="U93" s="1">
        <f>(POWER(10,Calculate[[#This Row],[AFE_noise_ds]]/10)+POWER(10,Calculate[[#This Row],[Echo_res_ds]]/10))</f>
        <v>1.2356766515058338E-14</v>
      </c>
      <c r="V93" s="2">
        <f>10*LOG10(Calculate[[#This Row],[Linear_Noise_us]])</f>
        <v>-139.08095159375532</v>
      </c>
      <c r="W93" s="2">
        <f>10*LOG10(Calculate[[#This Row],[Linear_Noise_ds]])</f>
        <v>-139.08095159375532</v>
      </c>
      <c r="X93" s="2">
        <f>Calculate[[#This Row],[Rx_PSD_us]]-Calculate[[#This Row],[Noise_us]]</f>
        <v>19.819078539009013</v>
      </c>
      <c r="Y93" s="2">
        <f>Calculate[[#This Row],[Rx_PSD_ds]]-Calculate[[#This Row],[Noise_ds]]</f>
        <v>19.819078539009013</v>
      </c>
      <c r="Z93" s="2">
        <f>POWER(10,Calculate[[#This Row],[SNRdB_us]]/10)</f>
        <v>95.919709301526282</v>
      </c>
      <c r="AA93" s="2">
        <f>POWER(10,Calculate[[#This Row],[SNRdB_ds]]/10)</f>
        <v>95.919709301526282</v>
      </c>
      <c r="AB93" s="2">
        <f>-(0.002*Calculate[[#This Row],[Freq]]/1000000/2.5+0.68*(Calculate[[#This Row],[Freq]]/1000000/2.5)^0.45)</f>
        <v>-22.414317636442977</v>
      </c>
      <c r="AC93" s="2"/>
    </row>
    <row r="94" spans="1:29" x14ac:dyDescent="0.25">
      <c r="A94" s="33">
        <f t="shared" si="14"/>
        <v>4185000000</v>
      </c>
      <c r="B94" s="1">
        <f>Calculate[[#This Row],[Freq]]-A93</f>
        <v>45000000</v>
      </c>
      <c r="C94" s="1">
        <f>Channels!B94*cable_length</f>
        <v>-19.317077205787875</v>
      </c>
      <c r="D94" s="1">
        <f>Channels!C94*PCB_trace_length</f>
        <v>-1.4500730434911711</v>
      </c>
      <c r="E94" s="1">
        <f>Calculate[[#This Row],[IL_Cable]]+Calculate[[#This Row],[IL_PCB]]</f>
        <v>-20.767150249279045</v>
      </c>
      <c r="F94" s="2">
        <f>Masks!A94</f>
        <v>-98.664788418809323</v>
      </c>
      <c r="G94" s="2">
        <f>Masks!B94</f>
        <v>-98.664788418809323</v>
      </c>
      <c r="H94" s="2">
        <f>Calculate[[#This Row],[Tx_PSD_us]]+Calculate[[#This Row],[IL]]</f>
        <v>-119.43193866808836</v>
      </c>
      <c r="I94" s="2">
        <f>Calculate[[#This Row],[Tx_PSD_ds]]+Calculate[[#This Row],[IL]]</f>
        <v>-119.43193866808836</v>
      </c>
      <c r="J94" s="2">
        <f>Masks[[#This Row],[channel_echo]]</f>
        <v>-11.29985284650239</v>
      </c>
      <c r="K94" s="2">
        <f>Masks[[#This Row],[channel_echo]]</f>
        <v>-11.29985284650239</v>
      </c>
      <c r="L94" s="2">
        <f>Calculate[[#This Row],[Echo_transfer_us]]+Calculate[[#This Row],[Tx_PSD_ds]]</f>
        <v>-109.96464126531171</v>
      </c>
      <c r="M94" s="2">
        <f>Calculate[[#This Row],[Echo_transfer_ds]]+Calculate[[#This Row],[Tx_PSD_us]]</f>
        <v>-109.96464126531171</v>
      </c>
      <c r="N94" s="2">
        <f t="shared" si="10"/>
        <v>-140</v>
      </c>
      <c r="O94" s="2">
        <f t="shared" si="11"/>
        <v>-140</v>
      </c>
      <c r="P94" s="2">
        <f t="shared" si="12"/>
        <v>6</v>
      </c>
      <c r="Q94" s="2">
        <f t="shared" si="13"/>
        <v>6</v>
      </c>
      <c r="R94" s="2">
        <f>10*LOG10((10^(Calculate[[#This Row],[Rx_echo_us]]/10))-(10^((Masks[[#This Row],[connector_echo]]+Calculate[[#This Row],[Tx_PSD_ds]])/10))*EC_conector_ratio_us)-Calculate[[#This Row],[EC_cancelation_us]]</f>
        <v>-146.30560216545882</v>
      </c>
      <c r="S94" s="2">
        <f>10*LOG10((10^(Calculate[[#This Row],[Rx_echo_ds]]/10))-(10^((Masks[[#This Row],[connector_echo]]+Calculate[[#This Row],[Tx_PSD_us]])/10))*EC_conector_ratio_ds)-Calculate[[#This Row],[EC_cancelation_ds]]</f>
        <v>-146.30560216545882</v>
      </c>
      <c r="T94" s="1">
        <f>(POWER(10,Calculate[[#This Row],[AFE_noise_us]]/10)+POWER(10,Calculate[[#This Row],[Echo_res_us]]/10))</f>
        <v>1.2341206835624419E-14</v>
      </c>
      <c r="U94" s="1">
        <f>(POWER(10,Calculate[[#This Row],[AFE_noise_ds]]/10)+POWER(10,Calculate[[#This Row],[Echo_res_ds]]/10))</f>
        <v>1.2341206835624419E-14</v>
      </c>
      <c r="V94" s="2">
        <f>10*LOG10(Calculate[[#This Row],[Linear_Noise_us]])</f>
        <v>-139.08642368955557</v>
      </c>
      <c r="W94" s="2">
        <f>10*LOG10(Calculate[[#This Row],[Linear_Noise_ds]])</f>
        <v>-139.08642368955557</v>
      </c>
      <c r="X94" s="2">
        <f>Calculate[[#This Row],[Rx_PSD_us]]-Calculate[[#This Row],[Noise_us]]</f>
        <v>19.65448502146721</v>
      </c>
      <c r="Y94" s="2">
        <f>Calculate[[#This Row],[Rx_PSD_ds]]-Calculate[[#This Row],[Noise_ds]]</f>
        <v>19.65448502146721</v>
      </c>
      <c r="Z94" s="2">
        <f>POWER(10,Calculate[[#This Row],[SNRdB_us]]/10)</f>
        <v>92.352467204326501</v>
      </c>
      <c r="AA94" s="2">
        <f>POWER(10,Calculate[[#This Row],[SNRdB_ds]]/10)</f>
        <v>92.352467204326501</v>
      </c>
      <c r="AB94" s="2">
        <f>-(0.002*Calculate[[#This Row],[Freq]]/1000000/2.5+0.68*(Calculate[[#This Row],[Freq]]/1000000/2.5)^0.45)</f>
        <v>-22.543475153296217</v>
      </c>
      <c r="AC94" s="2"/>
    </row>
    <row r="95" spans="1:29" x14ac:dyDescent="0.25">
      <c r="A95" s="33">
        <f t="shared" si="14"/>
        <v>4230000000</v>
      </c>
      <c r="B95" s="1">
        <f>Calculate[[#This Row],[Freq]]-A94</f>
        <v>45000000</v>
      </c>
      <c r="C95" s="1">
        <f>Channels!B95*cable_length</f>
        <v>-19.443531800227067</v>
      </c>
      <c r="D95" s="1">
        <f>Channels!C95*PCB_trace_length</f>
        <v>-1.4644742090529939</v>
      </c>
      <c r="E95" s="1">
        <f>Calculate[[#This Row],[IL_Cable]]+Calculate[[#This Row],[IL_PCB]]</f>
        <v>-20.908006009280061</v>
      </c>
      <c r="F95" s="2">
        <f>Masks!A95</f>
        <v>-98.693908021436144</v>
      </c>
      <c r="G95" s="2">
        <f>Masks!B95</f>
        <v>-98.693908021436144</v>
      </c>
      <c r="H95" s="2">
        <f>Calculate[[#This Row],[Tx_PSD_us]]+Calculate[[#This Row],[IL]]</f>
        <v>-119.6019140307162</v>
      </c>
      <c r="I95" s="2">
        <f>Calculate[[#This Row],[Tx_PSD_ds]]+Calculate[[#This Row],[IL]]</f>
        <v>-119.6019140307162</v>
      </c>
      <c r="J95" s="2">
        <f>Masks[[#This Row],[channel_echo]]</f>
        <v>-11.255266712477487</v>
      </c>
      <c r="K95" s="2">
        <f>Masks[[#This Row],[channel_echo]]</f>
        <v>-11.255266712477487</v>
      </c>
      <c r="L95" s="2">
        <f>Calculate[[#This Row],[Echo_transfer_us]]+Calculate[[#This Row],[Tx_PSD_ds]]</f>
        <v>-109.94917473391364</v>
      </c>
      <c r="M95" s="2">
        <f>Calculate[[#This Row],[Echo_transfer_ds]]+Calculate[[#This Row],[Tx_PSD_us]]</f>
        <v>-109.94917473391364</v>
      </c>
      <c r="N95" s="2">
        <f t="shared" si="10"/>
        <v>-140</v>
      </c>
      <c r="O95" s="2">
        <f t="shared" si="11"/>
        <v>-140</v>
      </c>
      <c r="P95" s="2">
        <f t="shared" si="12"/>
        <v>6</v>
      </c>
      <c r="Q95" s="2">
        <f t="shared" si="13"/>
        <v>6</v>
      </c>
      <c r="R95" s="2">
        <f>10*LOG10((10^(Calculate[[#This Row],[Rx_echo_us]]/10))-(10^((Masks[[#This Row],[connector_echo]]+Calculate[[#This Row],[Tx_PSD_ds]])/10))*EC_conector_ratio_us)-Calculate[[#This Row],[EC_cancelation_us]]</f>
        <v>-146.33472176813314</v>
      </c>
      <c r="S95" s="2">
        <f>10*LOG10((10^(Calculate[[#This Row],[Rx_echo_ds]]/10))-(10^((Masks[[#This Row],[connector_echo]]+Calculate[[#This Row],[Tx_PSD_us]])/10))*EC_conector_ratio_ds)-Calculate[[#This Row],[EC_cancelation_ds]]</f>
        <v>-146.33472176813314</v>
      </c>
      <c r="T95" s="1">
        <f>(POWER(10,Calculate[[#This Row],[AFE_noise_us]]/10)+POWER(10,Calculate[[#This Row],[Echo_res_us]]/10))</f>
        <v>1.2325561468789291E-14</v>
      </c>
      <c r="U95" s="1">
        <f>(POWER(10,Calculate[[#This Row],[AFE_noise_ds]]/10)+POWER(10,Calculate[[#This Row],[Echo_res_ds]]/10))</f>
        <v>1.2325561468789291E-14</v>
      </c>
      <c r="V95" s="2">
        <f>10*LOG10(Calculate[[#This Row],[Linear_Noise_us]])</f>
        <v>-139.09193288095929</v>
      </c>
      <c r="W95" s="2">
        <f>10*LOG10(Calculate[[#This Row],[Linear_Noise_ds]])</f>
        <v>-139.09193288095929</v>
      </c>
      <c r="X95" s="2">
        <f>Calculate[[#This Row],[Rx_PSD_us]]-Calculate[[#This Row],[Noise_us]]</f>
        <v>19.490018850243089</v>
      </c>
      <c r="Y95" s="2">
        <f>Calculate[[#This Row],[Rx_PSD_ds]]-Calculate[[#This Row],[Noise_ds]]</f>
        <v>19.490018850243089</v>
      </c>
      <c r="Z95" s="2">
        <f>POWER(10,Calculate[[#This Row],[SNRdB_us]]/10)</f>
        <v>88.920497738053143</v>
      </c>
      <c r="AA95" s="2">
        <f>POWER(10,Calculate[[#This Row],[SNRdB_ds]]/10)</f>
        <v>88.920497738053143</v>
      </c>
      <c r="AB95" s="2">
        <f>-(0.002*Calculate[[#This Row],[Freq]]/1000000/2.5+0.68*(Calculate[[#This Row],[Freq]]/1000000/2.5)^0.45)</f>
        <v>-22.672083351033169</v>
      </c>
      <c r="AC95" s="2"/>
    </row>
    <row r="96" spans="1:29" x14ac:dyDescent="0.25">
      <c r="A96" s="33">
        <f t="shared" si="14"/>
        <v>4275000000</v>
      </c>
      <c r="B96" s="1">
        <f>Calculate[[#This Row],[Freq]]-A95</f>
        <v>45000000</v>
      </c>
      <c r="C96" s="1">
        <f>Channels!B96*cable_length</f>
        <v>-19.569557618773501</v>
      </c>
      <c r="D96" s="1">
        <f>Channels!C96*PCB_trace_length</f>
        <v>-1.4788690897838617</v>
      </c>
      <c r="E96" s="1">
        <f>Calculate[[#This Row],[IL_Cable]]+Calculate[[#This Row],[IL_PCB]]</f>
        <v>-21.048426708557365</v>
      </c>
      <c r="F96" s="2">
        <f>Masks!A96</f>
        <v>-98.723380954388901</v>
      </c>
      <c r="G96" s="2">
        <f>Masks!B96</f>
        <v>-98.723380954388901</v>
      </c>
      <c r="H96" s="2">
        <f>Calculate[[#This Row],[Tx_PSD_us]]+Calculate[[#This Row],[IL]]</f>
        <v>-119.77180766294626</v>
      </c>
      <c r="I96" s="2">
        <f>Calculate[[#This Row],[Tx_PSD_ds]]+Calculate[[#This Row],[IL]]</f>
        <v>-119.77180766294626</v>
      </c>
      <c r="J96" s="2">
        <f>Masks[[#This Row],[channel_echo]]</f>
        <v>-11.211133667097608</v>
      </c>
      <c r="K96" s="2">
        <f>Masks[[#This Row],[channel_echo]]</f>
        <v>-11.211133667097608</v>
      </c>
      <c r="L96" s="2">
        <f>Calculate[[#This Row],[Echo_transfer_us]]+Calculate[[#This Row],[Tx_PSD_ds]]</f>
        <v>-109.93451462148651</v>
      </c>
      <c r="M96" s="2">
        <f>Calculate[[#This Row],[Echo_transfer_ds]]+Calculate[[#This Row],[Tx_PSD_us]]</f>
        <v>-109.93451462148651</v>
      </c>
      <c r="N96" s="2">
        <f t="shared" si="10"/>
        <v>-140</v>
      </c>
      <c r="O96" s="2">
        <f t="shared" si="11"/>
        <v>-140</v>
      </c>
      <c r="P96" s="2">
        <f t="shared" si="12"/>
        <v>6</v>
      </c>
      <c r="Q96" s="2">
        <f t="shared" si="13"/>
        <v>6</v>
      </c>
      <c r="R96" s="2">
        <f>10*LOG10((10^(Calculate[[#This Row],[Rx_echo_us]]/10))-(10^((Masks[[#This Row],[connector_echo]]+Calculate[[#This Row],[Tx_PSD_ds]])/10))*EC_conector_ratio_us)-Calculate[[#This Row],[EC_cancelation_us]]</f>
        <v>-146.36419470107137</v>
      </c>
      <c r="S96" s="2">
        <f>10*LOG10((10^(Calculate[[#This Row],[Rx_echo_ds]]/10))-(10^((Masks[[#This Row],[connector_echo]]+Calculate[[#This Row],[Tx_PSD_us]])/10))*EC_conector_ratio_ds)-Calculate[[#This Row],[EC_cancelation_ds]]</f>
        <v>-146.36419470107137</v>
      </c>
      <c r="T96" s="1">
        <f>(POWER(10,Calculate[[#This Row],[AFE_noise_us]]/10)+POWER(10,Calculate[[#This Row],[Echo_res_us]]/10))</f>
        <v>1.2309832724404913E-14</v>
      </c>
      <c r="U96" s="1">
        <f>(POWER(10,Calculate[[#This Row],[AFE_noise_ds]]/10)+POWER(10,Calculate[[#This Row],[Echo_res_ds]]/10))</f>
        <v>1.2309832724404913E-14</v>
      </c>
      <c r="V96" s="2">
        <f>10*LOG10(Calculate[[#This Row],[Linear_Noise_us]])</f>
        <v>-139.09747848560275</v>
      </c>
      <c r="W96" s="2">
        <f>10*LOG10(Calculate[[#This Row],[Linear_Noise_ds]])</f>
        <v>-139.09747848560275</v>
      </c>
      <c r="X96" s="2">
        <f>Calculate[[#This Row],[Rx_PSD_us]]-Calculate[[#This Row],[Noise_us]]</f>
        <v>19.325670822656491</v>
      </c>
      <c r="Y96" s="2">
        <f>Calculate[[#This Row],[Rx_PSD_ds]]-Calculate[[#This Row],[Noise_ds]]</f>
        <v>19.325670822656491</v>
      </c>
      <c r="Z96" s="2">
        <f>POWER(10,Calculate[[#This Row],[SNRdB_us]]/10)</f>
        <v>85.618394992719431</v>
      </c>
      <c r="AA96" s="2">
        <f>POWER(10,Calculate[[#This Row],[SNRdB_ds]]/10)</f>
        <v>85.618394992719431</v>
      </c>
      <c r="AB96" s="2">
        <f>-(0.002*Calculate[[#This Row],[Freq]]/1000000/2.5+0.68*(Calculate[[#This Row],[Freq]]/1000000/2.5)^0.45)</f>
        <v>-22.800151261469225</v>
      </c>
      <c r="AC96" s="2"/>
    </row>
    <row r="97" spans="1:29" x14ac:dyDescent="0.25">
      <c r="A97" s="33">
        <f t="shared" si="14"/>
        <v>4320000000</v>
      </c>
      <c r="B97" s="1">
        <f>Calculate[[#This Row],[Freq]]-A96</f>
        <v>45000000</v>
      </c>
      <c r="C97" s="1">
        <f>Channels!B97*cable_length</f>
        <v>-19.695161414037898</v>
      </c>
      <c r="D97" s="1">
        <f>Channels!C97*PCB_trace_length</f>
        <v>-1.4932577846609267</v>
      </c>
      <c r="E97" s="1">
        <f>Calculate[[#This Row],[IL_Cable]]+Calculate[[#This Row],[IL_PCB]]</f>
        <v>-21.188419198698824</v>
      </c>
      <c r="F97" s="2">
        <f>Masks!A97</f>
        <v>-98.753208727567383</v>
      </c>
      <c r="G97" s="2">
        <f>Masks!B97</f>
        <v>-98.753208727567383</v>
      </c>
      <c r="H97" s="2">
        <f>Calculate[[#This Row],[Tx_PSD_us]]+Calculate[[#This Row],[IL]]</f>
        <v>-119.94162792626621</v>
      </c>
      <c r="I97" s="2">
        <f>Calculate[[#This Row],[Tx_PSD_ds]]+Calculate[[#This Row],[IL]]</f>
        <v>-119.94162792626621</v>
      </c>
      <c r="J97" s="2">
        <f>Masks[[#This Row],[channel_echo]]</f>
        <v>-11.167444594261742</v>
      </c>
      <c r="K97" s="2">
        <f>Masks[[#This Row],[channel_echo]]</f>
        <v>-11.167444594261742</v>
      </c>
      <c r="L97" s="2">
        <f>Calculate[[#This Row],[Echo_transfer_us]]+Calculate[[#This Row],[Tx_PSD_ds]]</f>
        <v>-109.92065332182912</v>
      </c>
      <c r="M97" s="2">
        <f>Calculate[[#This Row],[Echo_transfer_ds]]+Calculate[[#This Row],[Tx_PSD_us]]</f>
        <v>-109.92065332182912</v>
      </c>
      <c r="N97" s="2">
        <f t="shared" si="10"/>
        <v>-140</v>
      </c>
      <c r="O97" s="2">
        <f t="shared" si="11"/>
        <v>-140</v>
      </c>
      <c r="P97" s="2">
        <f t="shared" si="12"/>
        <v>6</v>
      </c>
      <c r="Q97" s="2">
        <f t="shared" si="13"/>
        <v>6</v>
      </c>
      <c r="R97" s="2">
        <f>10*LOG10((10^(Calculate[[#This Row],[Rx_echo_us]]/10))-(10^((Masks[[#This Row],[connector_echo]]+Calculate[[#This Row],[Tx_PSD_ds]])/10))*EC_conector_ratio_us)-Calculate[[#This Row],[EC_cancelation_us]]</f>
        <v>-146.39402247423115</v>
      </c>
      <c r="S97" s="2">
        <f>10*LOG10((10^(Calculate[[#This Row],[Rx_echo_ds]]/10))-(10^((Masks[[#This Row],[connector_echo]]+Calculate[[#This Row],[Tx_PSD_us]])/10))*EC_conector_ratio_ds)-Calculate[[#This Row],[EC_cancelation_ds]]</f>
        <v>-146.39402247423115</v>
      </c>
      <c r="T97" s="1">
        <f>(POWER(10,Calculate[[#This Row],[AFE_noise_us]]/10)+POWER(10,Calculate[[#This Row],[Echo_res_us]]/10))</f>
        <v>1.2294022919338907E-14</v>
      </c>
      <c r="U97" s="1">
        <f>(POWER(10,Calculate[[#This Row],[AFE_noise_ds]]/10)+POWER(10,Calculate[[#This Row],[Echo_res_ds]]/10))</f>
        <v>1.2294022919338907E-14</v>
      </c>
      <c r="V97" s="2">
        <f>10*LOG10(Calculate[[#This Row],[Linear_Noise_us]])</f>
        <v>-139.10305981573617</v>
      </c>
      <c r="W97" s="2">
        <f>10*LOG10(Calculate[[#This Row],[Linear_Noise_ds]])</f>
        <v>-139.10305981573617</v>
      </c>
      <c r="X97" s="2">
        <f>Calculate[[#This Row],[Rx_PSD_us]]-Calculate[[#This Row],[Noise_us]]</f>
        <v>19.161431889469966</v>
      </c>
      <c r="Y97" s="2">
        <f>Calculate[[#This Row],[Rx_PSD_ds]]-Calculate[[#This Row],[Noise_ds]]</f>
        <v>19.161431889469966</v>
      </c>
      <c r="Z97" s="2">
        <f>POWER(10,Calculate[[#This Row],[SNRdB_us]]/10)</f>
        <v>82.440988205065906</v>
      </c>
      <c r="AA97" s="2">
        <f>POWER(10,Calculate[[#This Row],[SNRdB_ds]]/10)</f>
        <v>82.440988205065906</v>
      </c>
      <c r="AB97" s="2">
        <f>-(0.002*Calculate[[#This Row],[Freq]]/1000000/2.5+0.68*(Calculate[[#This Row],[Freq]]/1000000/2.5)^0.45)</f>
        <v>-22.927687674675006</v>
      </c>
      <c r="AC97" s="2"/>
    </row>
    <row r="98" spans="1:29" x14ac:dyDescent="0.25">
      <c r="A98" s="33">
        <f t="shared" si="14"/>
        <v>4365000000</v>
      </c>
      <c r="B98" s="1">
        <f>Calculate[[#This Row],[Freq]]-A97</f>
        <v>45000000</v>
      </c>
      <c r="C98" s="1">
        <f>Channels!B98*cable_length</f>
        <v>-19.820349763230091</v>
      </c>
      <c r="D98" s="1">
        <f>Channels!C98*PCB_trace_length</f>
        <v>-1.507640390090383</v>
      </c>
      <c r="E98" s="1">
        <f>Calculate[[#This Row],[IL_Cable]]+Calculate[[#This Row],[IL_PCB]]</f>
        <v>-21.327990153320474</v>
      </c>
      <c r="F98" s="2">
        <f>Masks!A98</f>
        <v>-98.78339287713986</v>
      </c>
      <c r="G98" s="2">
        <f>Masks!B98</f>
        <v>-98.78339287713986</v>
      </c>
      <c r="H98" s="2">
        <f>Calculate[[#This Row],[Tx_PSD_us]]+Calculate[[#This Row],[IL]]</f>
        <v>-120.11138303046033</v>
      </c>
      <c r="I98" s="2">
        <f>Calculate[[#This Row],[Tx_PSD_ds]]+Calculate[[#This Row],[IL]]</f>
        <v>-120.11138303046033</v>
      </c>
      <c r="J98" s="2">
        <f>Masks[[#This Row],[channel_echo]]</f>
        <v>-11.124190650253622</v>
      </c>
      <c r="K98" s="2">
        <f>Masks[[#This Row],[channel_echo]]</f>
        <v>-11.124190650253622</v>
      </c>
      <c r="L98" s="2">
        <f>Calculate[[#This Row],[Echo_transfer_us]]+Calculate[[#This Row],[Tx_PSD_ds]]</f>
        <v>-109.90758352739348</v>
      </c>
      <c r="M98" s="2">
        <f>Calculate[[#This Row],[Echo_transfer_ds]]+Calculate[[#This Row],[Tx_PSD_us]]</f>
        <v>-109.90758352739348</v>
      </c>
      <c r="N98" s="2">
        <f t="shared" ref="N98:N129" si="15">AFE_noise_us</f>
        <v>-140</v>
      </c>
      <c r="O98" s="2">
        <f t="shared" ref="O98:O129" si="16">AFE_noise_ds</f>
        <v>-140</v>
      </c>
      <c r="P98" s="2">
        <f t="shared" ref="P98:P129" si="17">EC_cancel_us</f>
        <v>6</v>
      </c>
      <c r="Q98" s="2">
        <f t="shared" ref="Q98:Q129" si="18">EC_cancel_ds</f>
        <v>6</v>
      </c>
      <c r="R98" s="2">
        <f>10*LOG10((10^(Calculate[[#This Row],[Rx_echo_us]]/10))-(10^((Masks[[#This Row],[connector_echo]]+Calculate[[#This Row],[Tx_PSD_ds]])/10))*EC_conector_ratio_us)-Calculate[[#This Row],[EC_cancelation_us]]</f>
        <v>-146.42420662379192</v>
      </c>
      <c r="S98" s="2">
        <f>10*LOG10((10^(Calculate[[#This Row],[Rx_echo_ds]]/10))-(10^((Masks[[#This Row],[connector_echo]]+Calculate[[#This Row],[Tx_PSD_us]])/10))*EC_conector_ratio_ds)-Calculate[[#This Row],[EC_cancelation_ds]]</f>
        <v>-146.42420662379192</v>
      </c>
      <c r="T98" s="1">
        <f>(POWER(10,Calculate[[#This Row],[AFE_noise_us]]/10)+POWER(10,Calculate[[#This Row],[Echo_res_us]]/10))</f>
        <v>1.2278134377131425E-14</v>
      </c>
      <c r="U98" s="1">
        <f>(POWER(10,Calculate[[#This Row],[AFE_noise_ds]]/10)+POWER(10,Calculate[[#This Row],[Echo_res_ds]]/10))</f>
        <v>1.2278134377131425E-14</v>
      </c>
      <c r="V98" s="2">
        <f>10*LOG10(Calculate[[#This Row],[Linear_Noise_us]])</f>
        <v>-139.10867617825951</v>
      </c>
      <c r="W98" s="2">
        <f>10*LOG10(Calculate[[#This Row],[Linear_Noise_ds]])</f>
        <v>-139.10867617825951</v>
      </c>
      <c r="X98" s="2">
        <f>Calculate[[#This Row],[Rx_PSD_us]]-Calculate[[#This Row],[Noise_us]]</f>
        <v>18.997293147799184</v>
      </c>
      <c r="Y98" s="2">
        <f>Calculate[[#This Row],[Rx_PSD_ds]]-Calculate[[#This Row],[Noise_ds]]</f>
        <v>18.997293147799184</v>
      </c>
      <c r="Z98" s="2">
        <f>POWER(10,Calculate[[#This Row],[SNRdB_us]]/10)</f>
        <v>79.383330345128314</v>
      </c>
      <c r="AA98" s="2">
        <f>POWER(10,Calculate[[#This Row],[SNRdB_ds]]/10)</f>
        <v>79.383330345128314</v>
      </c>
      <c r="AB98" s="2">
        <f>-(0.002*Calculate[[#This Row],[Freq]]/1000000/2.5+0.68*(Calculate[[#This Row],[Freq]]/1000000/2.5)^0.45)</f>
        <v>-23.054701147890917</v>
      </c>
      <c r="AC98" s="2"/>
    </row>
    <row r="99" spans="1:29" x14ac:dyDescent="0.25">
      <c r="A99" s="33">
        <f t="shared" ref="A99:A130" si="19">f_step+A98</f>
        <v>4410000000</v>
      </c>
      <c r="B99" s="1">
        <f>Calculate[[#This Row],[Freq]]-A98</f>
        <v>45000000</v>
      </c>
      <c r="C99" s="1">
        <f>Channels!B99*cable_length</f>
        <v>-19.94512907447205</v>
      </c>
      <c r="D99" s="1">
        <f>Channels!C99*PCB_trace_length</f>
        <v>-1.5220170000000004</v>
      </c>
      <c r="E99" s="1">
        <f>Calculate[[#This Row],[IL_Cable]]+Calculate[[#This Row],[IL_PCB]]</f>
        <v>-21.467146074472051</v>
      </c>
      <c r="F99" s="2">
        <f>Masks!A99</f>
        <v>-98.813934965962218</v>
      </c>
      <c r="G99" s="2">
        <f>Masks!B99</f>
        <v>-98.813934965962218</v>
      </c>
      <c r="H99" s="2">
        <f>Calculate[[#This Row],[Tx_PSD_us]]+Calculate[[#This Row],[IL]]</f>
        <v>-120.28108104043427</v>
      </c>
      <c r="I99" s="2">
        <f>Calculate[[#This Row],[Tx_PSD_ds]]+Calculate[[#This Row],[IL]]</f>
        <v>-120.28108104043427</v>
      </c>
      <c r="J99" s="2">
        <f>Masks[[#This Row],[channel_echo]]</f>
        <v>-11.081363252997026</v>
      </c>
      <c r="K99" s="2">
        <f>Masks[[#This Row],[channel_echo]]</f>
        <v>-11.081363252997026</v>
      </c>
      <c r="L99" s="2">
        <f>Calculate[[#This Row],[Echo_transfer_us]]+Calculate[[#This Row],[Tx_PSD_ds]]</f>
        <v>-109.89529821895924</v>
      </c>
      <c r="M99" s="2">
        <f>Calculate[[#This Row],[Echo_transfer_ds]]+Calculate[[#This Row],[Tx_PSD_us]]</f>
        <v>-109.89529821895924</v>
      </c>
      <c r="N99" s="2">
        <f t="shared" si="15"/>
        <v>-140</v>
      </c>
      <c r="O99" s="2">
        <f t="shared" si="16"/>
        <v>-140</v>
      </c>
      <c r="P99" s="2">
        <f t="shared" si="17"/>
        <v>6</v>
      </c>
      <c r="Q99" s="2">
        <f t="shared" si="18"/>
        <v>6</v>
      </c>
      <c r="R99" s="2">
        <f>10*LOG10((10^(Calculate[[#This Row],[Rx_echo_us]]/10))-(10^((Masks[[#This Row],[connector_echo]]+Calculate[[#This Row],[Tx_PSD_ds]])/10))*EC_conector_ratio_us)-Calculate[[#This Row],[EC_cancelation_us]]</f>
        <v>-146.45474871262155</v>
      </c>
      <c r="S99" s="2">
        <f>10*LOG10((10^(Calculate[[#This Row],[Rx_echo_ds]]/10))-(10^((Masks[[#This Row],[connector_echo]]+Calculate[[#This Row],[Tx_PSD_us]])/10))*EC_conector_ratio_ds)-Calculate[[#This Row],[EC_cancelation_ds]]</f>
        <v>-146.45474871262155</v>
      </c>
      <c r="T99" s="1">
        <f>(POWER(10,Calculate[[#This Row],[AFE_noise_us]]/10)+POWER(10,Calculate[[#This Row],[Echo_res_us]]/10))</f>
        <v>1.2262169427497492E-14</v>
      </c>
      <c r="U99" s="1">
        <f>(POWER(10,Calculate[[#This Row],[AFE_noise_ds]]/10)+POWER(10,Calculate[[#This Row],[Echo_res_ds]]/10))</f>
        <v>1.2262169427497492E-14</v>
      </c>
      <c r="V99" s="2">
        <f>10*LOG10(Calculate[[#This Row],[Linear_Noise_us]])</f>
        <v>-139.11432687481425</v>
      </c>
      <c r="W99" s="2">
        <f>10*LOG10(Calculate[[#This Row],[Linear_Noise_ds]])</f>
        <v>-139.11432687481425</v>
      </c>
      <c r="X99" s="2">
        <f>Calculate[[#This Row],[Rx_PSD_us]]-Calculate[[#This Row],[Noise_us]]</f>
        <v>18.83324583437998</v>
      </c>
      <c r="Y99" s="2">
        <f>Calculate[[#This Row],[Rx_PSD_ds]]-Calculate[[#This Row],[Noise_ds]]</f>
        <v>18.83324583437998</v>
      </c>
      <c r="Z99" s="2">
        <f>POWER(10,Calculate[[#This Row],[SNRdB_us]]/10)</f>
        <v>76.440687330280284</v>
      </c>
      <c r="AA99" s="2">
        <f>POWER(10,Calculate[[#This Row],[SNRdB_ds]]/10)</f>
        <v>76.440687330280284</v>
      </c>
      <c r="AB99" s="2">
        <f>-(0.002*Calculate[[#This Row],[Freq]]/1000000/2.5+0.68*(Calculate[[#This Row],[Freq]]/1000000/2.5)^0.45)</f>
        <v>-23.181200014024608</v>
      </c>
      <c r="AC99" s="2"/>
    </row>
    <row r="100" spans="1:29" x14ac:dyDescent="0.25">
      <c r="A100" s="33">
        <f t="shared" si="19"/>
        <v>4455000000</v>
      </c>
      <c r="B100" s="1">
        <f>Calculate[[#This Row],[Freq]]-A99</f>
        <v>45000000</v>
      </c>
      <c r="C100" s="1">
        <f>Channels!B100*cable_length</f>
        <v>-20.069505592821717</v>
      </c>
      <c r="D100" s="1">
        <f>Channels!C100*PCB_trace_length</f>
        <v>-1.5363877059274191</v>
      </c>
      <c r="E100" s="1">
        <f>Calculate[[#This Row],[IL_Cable]]+Calculate[[#This Row],[IL_PCB]]</f>
        <v>-21.605893298749137</v>
      </c>
      <c r="F100" s="2">
        <f>Masks!A100</f>
        <v>-98.844836584007595</v>
      </c>
      <c r="G100" s="2">
        <f>Masks!B100</f>
        <v>-98.844836584007595</v>
      </c>
      <c r="H100" s="2">
        <f>Calculate[[#This Row],[Tx_PSD_us]]+Calculate[[#This Row],[IL]]</f>
        <v>-120.45072988275673</v>
      </c>
      <c r="I100" s="2">
        <f>Calculate[[#This Row],[Tx_PSD_ds]]+Calculate[[#This Row],[IL]]</f>
        <v>-120.45072988275673</v>
      </c>
      <c r="J100" s="2">
        <f>Masks[[#This Row],[channel_echo]]</f>
        <v>-11.038954071835684</v>
      </c>
      <c r="K100" s="2">
        <f>Masks[[#This Row],[channel_echo]]</f>
        <v>-11.038954071835684</v>
      </c>
      <c r="L100" s="2">
        <f>Calculate[[#This Row],[Echo_transfer_us]]+Calculate[[#This Row],[Tx_PSD_ds]]</f>
        <v>-109.88379065584328</v>
      </c>
      <c r="M100" s="2">
        <f>Calculate[[#This Row],[Echo_transfer_ds]]+Calculate[[#This Row],[Tx_PSD_us]]</f>
        <v>-109.88379065584328</v>
      </c>
      <c r="N100" s="2">
        <f t="shared" si="15"/>
        <v>-140</v>
      </c>
      <c r="O100" s="2">
        <f t="shared" si="16"/>
        <v>-140</v>
      </c>
      <c r="P100" s="2">
        <f t="shared" si="17"/>
        <v>6</v>
      </c>
      <c r="Q100" s="2">
        <f t="shared" si="18"/>
        <v>6</v>
      </c>
      <c r="R100" s="2">
        <f>10*LOG10((10^(Calculate[[#This Row],[Rx_echo_us]]/10))-(10^((Masks[[#This Row],[connector_echo]]+Calculate[[#This Row],[Tx_PSD_ds]])/10))*EC_conector_ratio_us)-Calculate[[#This Row],[EC_cancelation_us]]</f>
        <v>-146.48565033067086</v>
      </c>
      <c r="S100" s="2">
        <f>10*LOG10((10^(Calculate[[#This Row],[Rx_echo_ds]]/10))-(10^((Masks[[#This Row],[connector_echo]]+Calculate[[#This Row],[Tx_PSD_us]])/10))*EC_conector_ratio_ds)-Calculate[[#This Row],[EC_cancelation_ds]]</f>
        <v>-146.48565033067086</v>
      </c>
      <c r="T100" s="1">
        <f>(POWER(10,Calculate[[#This Row],[AFE_noise_us]]/10)+POWER(10,Calculate[[#This Row],[Echo_res_us]]/10))</f>
        <v>1.2246130405872567E-14</v>
      </c>
      <c r="U100" s="1">
        <f>(POWER(10,Calculate[[#This Row],[AFE_noise_ds]]/10)+POWER(10,Calculate[[#This Row],[Echo_res_ds]]/10))</f>
        <v>1.2246130405872567E-14</v>
      </c>
      <c r="V100" s="2">
        <f>10*LOG10(Calculate[[#This Row],[Linear_Noise_us]])</f>
        <v>-139.1200112018615</v>
      </c>
      <c r="W100" s="2">
        <f>10*LOG10(Calculate[[#This Row],[Linear_Noise_ds]])</f>
        <v>-139.1200112018615</v>
      </c>
      <c r="X100" s="2">
        <f>Calculate[[#This Row],[Rx_PSD_us]]-Calculate[[#This Row],[Noise_us]]</f>
        <v>18.669281319104769</v>
      </c>
      <c r="Y100" s="2">
        <f>Calculate[[#This Row],[Rx_PSD_ds]]-Calculate[[#This Row],[Noise_ds]]</f>
        <v>18.669281319104769</v>
      </c>
      <c r="Z100" s="2">
        <f>POWER(10,Calculate[[#This Row],[SNRdB_us]]/10)</f>
        <v>73.608527826327858</v>
      </c>
      <c r="AA100" s="2">
        <f>POWER(10,Calculate[[#This Row],[SNRdB_ds]]/10)</f>
        <v>73.608527826327858</v>
      </c>
      <c r="AB100" s="2">
        <f>-(0.002*Calculate[[#This Row],[Freq]]/1000000/2.5+0.68*(Calculate[[#This Row],[Freq]]/1000000/2.5)^0.45)</f>
        <v>-23.307192389755087</v>
      </c>
      <c r="AC100" s="2"/>
    </row>
    <row r="101" spans="1:29" x14ac:dyDescent="0.25">
      <c r="A101" s="33">
        <f t="shared" si="19"/>
        <v>4500000000</v>
      </c>
      <c r="B101" s="1">
        <f>Calculate[[#This Row],[Freq]]-A100</f>
        <v>45000000</v>
      </c>
      <c r="C101" s="1">
        <f>Channels!B101*cable_length</f>
        <v>-20.193485406023711</v>
      </c>
      <c r="D101" s="1">
        <f>Channels!C101*PCB_trace_length</f>
        <v>-1.5507525971044418</v>
      </c>
      <c r="E101" s="1">
        <f>Calculate[[#This Row],[IL_Cable]]+Calculate[[#This Row],[IL_PCB]]</f>
        <v>-21.744238003128153</v>
      </c>
      <c r="F101" s="2">
        <f>Masks!A101</f>
        <v>-98.876099348806591</v>
      </c>
      <c r="G101" s="2">
        <f>Masks!B101</f>
        <v>-98.876099348806591</v>
      </c>
      <c r="H101" s="2">
        <f>Calculate[[#This Row],[Tx_PSD_us]]+Calculate[[#This Row],[IL]]</f>
        <v>-120.62033735193475</v>
      </c>
      <c r="I101" s="2">
        <f>Calculate[[#This Row],[Tx_PSD_ds]]+Calculate[[#This Row],[IL]]</f>
        <v>-120.62033735193475</v>
      </c>
      <c r="J101" s="2">
        <f>Masks[[#This Row],[channel_echo]]</f>
        <v>-10.996955017807421</v>
      </c>
      <c r="K101" s="2">
        <f>Masks[[#This Row],[channel_echo]]</f>
        <v>-10.996955017807421</v>
      </c>
      <c r="L101" s="2">
        <f>Calculate[[#This Row],[Echo_transfer_us]]+Calculate[[#This Row],[Tx_PSD_ds]]</f>
        <v>-109.87305436661401</v>
      </c>
      <c r="M101" s="2">
        <f>Calculate[[#This Row],[Echo_transfer_ds]]+Calculate[[#This Row],[Tx_PSD_us]]</f>
        <v>-109.87305436661401</v>
      </c>
      <c r="N101" s="2">
        <f t="shared" si="15"/>
        <v>-140</v>
      </c>
      <c r="O101" s="2">
        <f t="shared" si="16"/>
        <v>-140</v>
      </c>
      <c r="P101" s="2">
        <f t="shared" si="17"/>
        <v>6</v>
      </c>
      <c r="Q101" s="2">
        <f t="shared" si="18"/>
        <v>6</v>
      </c>
      <c r="R101" s="2">
        <f>10*LOG10((10^(Calculate[[#This Row],[Rx_echo_us]]/10))-(10^((Masks[[#This Row],[connector_echo]]+Calculate[[#This Row],[Tx_PSD_ds]])/10))*EC_conector_ratio_us)-Calculate[[#This Row],[EC_cancelation_us]]</f>
        <v>-146.51691309546055</v>
      </c>
      <c r="S101" s="2">
        <f>10*LOG10((10^(Calculate[[#This Row],[Rx_echo_ds]]/10))-(10^((Masks[[#This Row],[connector_echo]]+Calculate[[#This Row],[Tx_PSD_us]])/10))*EC_conector_ratio_ds)-Calculate[[#This Row],[EC_cancelation_ds]]</f>
        <v>-146.51691309546055</v>
      </c>
      <c r="T101" s="1">
        <f>(POWER(10,Calculate[[#This Row],[AFE_noise_us]]/10)+POWER(10,Calculate[[#This Row],[Echo_res_us]]/10))</f>
        <v>1.223001965291492E-14</v>
      </c>
      <c r="U101" s="1">
        <f>(POWER(10,Calculate[[#This Row],[AFE_noise_ds]]/10)+POWER(10,Calculate[[#This Row],[Echo_res_ds]]/10))</f>
        <v>1.223001965291492E-14</v>
      </c>
      <c r="V101" s="2">
        <f>10*LOG10(Calculate[[#This Row],[Linear_Noise_us]])</f>
        <v>-139.12572845077727</v>
      </c>
      <c r="W101" s="2">
        <f>10*LOG10(Calculate[[#This Row],[Linear_Noise_ds]])</f>
        <v>-139.12572845077727</v>
      </c>
      <c r="X101" s="2">
        <f>Calculate[[#This Row],[Rx_PSD_us]]-Calculate[[#This Row],[Noise_us]]</f>
        <v>18.505391098842523</v>
      </c>
      <c r="Y101" s="2">
        <f>Calculate[[#This Row],[Rx_PSD_ds]]-Calculate[[#This Row],[Noise_ds]]</f>
        <v>18.505391098842523</v>
      </c>
      <c r="Z101" s="2">
        <f>POWER(10,Calculate[[#This Row],[SNRdB_us]]/10)</f>
        <v>70.882513599997353</v>
      </c>
      <c r="AA101" s="2">
        <f>POWER(10,Calculate[[#This Row],[SNRdB_ds]]/10)</f>
        <v>70.882513599997353</v>
      </c>
      <c r="AB101" s="2">
        <f>-(0.002*Calculate[[#This Row],[Freq]]/1000000/2.5+0.68*(Calculate[[#This Row],[Freq]]/1000000/2.5)^0.45)</f>
        <v>-23.43268618326535</v>
      </c>
      <c r="AC101" s="2"/>
    </row>
    <row r="102" spans="1:29" x14ac:dyDescent="0.25">
      <c r="A102" s="33">
        <f t="shared" si="19"/>
        <v>4545000000</v>
      </c>
      <c r="B102" s="1">
        <f>Calculate[[#This Row],[Freq]]-A101</f>
        <v>45000000</v>
      </c>
      <c r="C102" s="1">
        <f>Channels!B102*cable_length</f>
        <v>-20.317074450001879</v>
      </c>
      <c r="D102" s="1">
        <f>Channels!C102*PCB_trace_length</f>
        <v>-1.5651117605375409</v>
      </c>
      <c r="E102" s="1">
        <f>Calculate[[#This Row],[IL_Cable]]+Calculate[[#This Row],[IL_PCB]]</f>
        <v>-21.88218621053942</v>
      </c>
      <c r="F102" s="2">
        <f>Masks!A102</f>
        <v>-98.907724905898633</v>
      </c>
      <c r="G102" s="2">
        <f>Masks!B102</f>
        <v>-98.907724905898633</v>
      </c>
      <c r="H102" s="2">
        <f>Calculate[[#This Row],[Tx_PSD_us]]+Calculate[[#This Row],[IL]]</f>
        <v>-120.78991111643805</v>
      </c>
      <c r="I102" s="2">
        <f>Calculate[[#This Row],[Tx_PSD_ds]]+Calculate[[#This Row],[IL]]</f>
        <v>-120.78991111643805</v>
      </c>
      <c r="J102" s="2">
        <f>Masks[[#This Row],[channel_echo]]</f>
        <v>-10.95535823438405</v>
      </c>
      <c r="K102" s="2">
        <f>Masks[[#This Row],[channel_echo]]</f>
        <v>-10.95535823438405</v>
      </c>
      <c r="L102" s="2">
        <f>Calculate[[#This Row],[Echo_transfer_us]]+Calculate[[#This Row],[Tx_PSD_ds]]</f>
        <v>-109.86308314028268</v>
      </c>
      <c r="M102" s="2">
        <f>Calculate[[#This Row],[Echo_transfer_ds]]+Calculate[[#This Row],[Tx_PSD_us]]</f>
        <v>-109.86308314028268</v>
      </c>
      <c r="N102" s="2">
        <f t="shared" si="15"/>
        <v>-140</v>
      </c>
      <c r="O102" s="2">
        <f t="shared" si="16"/>
        <v>-140</v>
      </c>
      <c r="P102" s="2">
        <f t="shared" si="17"/>
        <v>6</v>
      </c>
      <c r="Q102" s="2">
        <f t="shared" si="18"/>
        <v>6</v>
      </c>
      <c r="R102" s="2">
        <f>10*LOG10((10^(Calculate[[#This Row],[Rx_echo_us]]/10))-(10^((Masks[[#This Row],[connector_echo]]+Calculate[[#This Row],[Tx_PSD_ds]])/10))*EC_conector_ratio_us)-Calculate[[#This Row],[EC_cancelation_us]]</f>
        <v>-146.54853865256615</v>
      </c>
      <c r="S102" s="2">
        <f>10*LOG10((10^(Calculate[[#This Row],[Rx_echo_ds]]/10))-(10^((Masks[[#This Row],[connector_echo]]+Calculate[[#This Row],[Tx_PSD_us]])/10))*EC_conector_ratio_ds)-Calculate[[#This Row],[EC_cancelation_ds]]</f>
        <v>-146.54853865256615</v>
      </c>
      <c r="T102" s="1">
        <f>(POWER(10,Calculate[[#This Row],[AFE_noise_us]]/10)+POWER(10,Calculate[[#This Row],[Echo_res_us]]/10))</f>
        <v>1.2213839514015547E-14</v>
      </c>
      <c r="U102" s="1">
        <f>(POWER(10,Calculate[[#This Row],[AFE_noise_ds]]/10)+POWER(10,Calculate[[#This Row],[Echo_res_ds]]/10))</f>
        <v>1.2213839514015547E-14</v>
      </c>
      <c r="V102" s="2">
        <f>10*LOG10(Calculate[[#This Row],[Linear_Noise_us]])</f>
        <v>-139.13147790794662</v>
      </c>
      <c r="W102" s="2">
        <f>10*LOG10(Calculate[[#This Row],[Linear_Noise_ds]])</f>
        <v>-139.13147790794662</v>
      </c>
      <c r="X102" s="2">
        <f>Calculate[[#This Row],[Rx_PSD_us]]-Calculate[[#This Row],[Noise_us]]</f>
        <v>18.341566791508569</v>
      </c>
      <c r="Y102" s="2">
        <f>Calculate[[#This Row],[Rx_PSD_ds]]-Calculate[[#This Row],[Noise_ds]]</f>
        <v>18.341566791508569</v>
      </c>
      <c r="Z102" s="2">
        <f>POWER(10,Calculate[[#This Row],[SNRdB_us]]/10)</f>
        <v>68.258490388749408</v>
      </c>
      <c r="AA102" s="2">
        <f>POWER(10,Calculate[[#This Row],[SNRdB_ds]]/10)</f>
        <v>68.258490388749408</v>
      </c>
      <c r="AB102" s="2">
        <f>-(0.002*Calculate[[#This Row],[Freq]]/1000000/2.5+0.68*(Calculate[[#This Row],[Freq]]/1000000/2.5)^0.45)</f>
        <v>-23.557689101624021</v>
      </c>
      <c r="AC102" s="2"/>
    </row>
    <row r="103" spans="1:29" x14ac:dyDescent="0.25">
      <c r="A103" s="33">
        <f t="shared" si="19"/>
        <v>4590000000</v>
      </c>
      <c r="B103" s="1">
        <f>Calculate[[#This Row],[Freq]]-A102</f>
        <v>45000000</v>
      </c>
      <c r="C103" s="1">
        <f>Channels!B103*cable_length</f>
        <v>-20.440278514107721</v>
      </c>
      <c r="D103" s="1">
        <f>Channels!C103*PCB_trace_length</f>
        <v>-1.5794652810847885</v>
      </c>
      <c r="E103" s="1">
        <f>Calculate[[#This Row],[IL_Cable]]+Calculate[[#This Row],[IL_PCB]]</f>
        <v>-22.019743795192511</v>
      </c>
      <c r="F103" s="2">
        <f>Masks!A103</f>
        <v>-98.939714929294425</v>
      </c>
      <c r="G103" s="2">
        <f>Masks!B103</f>
        <v>-98.939714929294425</v>
      </c>
      <c r="H103" s="2">
        <f>Calculate[[#This Row],[Tx_PSD_us]]+Calculate[[#This Row],[IL]]</f>
        <v>-120.95945872448694</v>
      </c>
      <c r="I103" s="2">
        <f>Calculate[[#This Row],[Tx_PSD_ds]]+Calculate[[#This Row],[IL]]</f>
        <v>-120.95945872448694</v>
      </c>
      <c r="J103" s="2">
        <f>Masks[[#This Row],[channel_echo]]</f>
        <v>-10.914156088650577</v>
      </c>
      <c r="K103" s="2">
        <f>Masks[[#This Row],[channel_echo]]</f>
        <v>-10.914156088650577</v>
      </c>
      <c r="L103" s="2">
        <f>Calculate[[#This Row],[Echo_transfer_us]]+Calculate[[#This Row],[Tx_PSD_ds]]</f>
        <v>-109.853871017945</v>
      </c>
      <c r="M103" s="2">
        <f>Calculate[[#This Row],[Echo_transfer_ds]]+Calculate[[#This Row],[Tx_PSD_us]]</f>
        <v>-109.853871017945</v>
      </c>
      <c r="N103" s="2">
        <f t="shared" si="15"/>
        <v>-140</v>
      </c>
      <c r="O103" s="2">
        <f t="shared" si="16"/>
        <v>-140</v>
      </c>
      <c r="P103" s="2">
        <f t="shared" si="17"/>
        <v>6</v>
      </c>
      <c r="Q103" s="2">
        <f t="shared" si="18"/>
        <v>6</v>
      </c>
      <c r="R103" s="2">
        <f>10*LOG10((10^(Calculate[[#This Row],[Rx_echo_us]]/10))-(10^((Masks[[#This Row],[connector_echo]]+Calculate[[#This Row],[Tx_PSD_ds]])/10))*EC_conector_ratio_us)-Calculate[[#This Row],[EC_cancelation_us]]</f>
        <v>-146.58052867594895</v>
      </c>
      <c r="S103" s="2">
        <f>10*LOG10((10^(Calculate[[#This Row],[Rx_echo_ds]]/10))-(10^((Masks[[#This Row],[connector_echo]]+Calculate[[#This Row],[Tx_PSD_us]])/10))*EC_conector_ratio_ds)-Calculate[[#This Row],[EC_cancelation_ds]]</f>
        <v>-146.58052867594895</v>
      </c>
      <c r="T103" s="1">
        <f>(POWER(10,Calculate[[#This Row],[AFE_noise_us]]/10)+POWER(10,Calculate[[#This Row],[Echo_res_us]]/10))</f>
        <v>1.2197592338892146E-14</v>
      </c>
      <c r="U103" s="1">
        <f>(POWER(10,Calculate[[#This Row],[AFE_noise_ds]]/10)+POWER(10,Calculate[[#This Row],[Echo_res_ds]]/10))</f>
        <v>1.2197592338892146E-14</v>
      </c>
      <c r="V103" s="2">
        <f>10*LOG10(Calculate[[#This Row],[Linear_Noise_us]])</f>
        <v>-139.13725885483001</v>
      </c>
      <c r="W103" s="2">
        <f>10*LOG10(Calculate[[#This Row],[Linear_Noise_ds]])</f>
        <v>-139.13725885483001</v>
      </c>
      <c r="X103" s="2">
        <f>Calculate[[#This Row],[Rx_PSD_us]]-Calculate[[#This Row],[Noise_us]]</f>
        <v>18.177800130343073</v>
      </c>
      <c r="Y103" s="2">
        <f>Calculate[[#This Row],[Rx_PSD_ds]]-Calculate[[#This Row],[Noise_ds]]</f>
        <v>18.177800130343073</v>
      </c>
      <c r="Z103" s="2">
        <f>POWER(10,Calculate[[#This Row],[SNRdB_us]]/10)</f>
        <v>65.732479256143549</v>
      </c>
      <c r="AA103" s="2">
        <f>POWER(10,Calculate[[#This Row],[SNRdB_ds]]/10)</f>
        <v>65.732479256143549</v>
      </c>
      <c r="AB103" s="2">
        <f>-(0.002*Calculate[[#This Row],[Freq]]/1000000/2.5+0.68*(Calculate[[#This Row],[Freq]]/1000000/2.5)^0.45)</f>
        <v>-23.682208657835531</v>
      </c>
      <c r="AC103" s="2"/>
    </row>
    <row r="104" spans="1:29" x14ac:dyDescent="0.25">
      <c r="A104" s="33">
        <f t="shared" si="19"/>
        <v>4635000000</v>
      </c>
      <c r="B104" s="1">
        <f>Calculate[[#This Row],[Freq]]-A103</f>
        <v>45000000</v>
      </c>
      <c r="C104" s="1">
        <f>Channels!B104*cable_length</f>
        <v>-20.563103246137786</v>
      </c>
      <c r="D104" s="1">
        <f>Channels!C104*PCB_trace_length</f>
        <v>-1.5938132415293991</v>
      </c>
      <c r="E104" s="1">
        <f>Calculate[[#This Row],[IL_Cable]]+Calculate[[#This Row],[IL_PCB]]</f>
        <v>-22.156916487667186</v>
      </c>
      <c r="F104" s="2">
        <f>Masks!A104</f>
        <v>-98.972071121950165</v>
      </c>
      <c r="G104" s="2">
        <f>Masks!B104</f>
        <v>-98.972071121950165</v>
      </c>
      <c r="H104" s="2">
        <f>Calculate[[#This Row],[Tx_PSD_us]]+Calculate[[#This Row],[IL]]</f>
        <v>-121.12898760961735</v>
      </c>
      <c r="I104" s="2">
        <f>Calculate[[#This Row],[Tx_PSD_ds]]+Calculate[[#This Row],[IL]]</f>
        <v>-121.12898760961735</v>
      </c>
      <c r="J104" s="2">
        <f>Masks[[#This Row],[channel_echo]]</f>
        <v>-10.873341162898885</v>
      </c>
      <c r="K104" s="2">
        <f>Masks[[#This Row],[channel_echo]]</f>
        <v>-10.873341162898885</v>
      </c>
      <c r="L104" s="2">
        <f>Calculate[[#This Row],[Echo_transfer_us]]+Calculate[[#This Row],[Tx_PSD_ds]]</f>
        <v>-109.84541228484905</v>
      </c>
      <c r="M104" s="2">
        <f>Calculate[[#This Row],[Echo_transfer_ds]]+Calculate[[#This Row],[Tx_PSD_us]]</f>
        <v>-109.84541228484905</v>
      </c>
      <c r="N104" s="2">
        <f t="shared" si="15"/>
        <v>-140</v>
      </c>
      <c r="O104" s="2">
        <f t="shared" si="16"/>
        <v>-140</v>
      </c>
      <c r="P104" s="2">
        <f t="shared" si="17"/>
        <v>6</v>
      </c>
      <c r="Q104" s="2">
        <f t="shared" si="18"/>
        <v>6</v>
      </c>
      <c r="R104" s="2">
        <f>10*LOG10((10^(Calculate[[#This Row],[Rx_echo_us]]/10))-(10^((Masks[[#This Row],[connector_echo]]+Calculate[[#This Row],[Tx_PSD_ds]])/10))*EC_conector_ratio_us)-Calculate[[#This Row],[EC_cancelation_us]]</f>
        <v>-146.61288486861122</v>
      </c>
      <c r="S104" s="2">
        <f>10*LOG10((10^(Calculate[[#This Row],[Rx_echo_ds]]/10))-(10^((Masks[[#This Row],[connector_echo]]+Calculate[[#This Row],[Tx_PSD_us]])/10))*EC_conector_ratio_ds)-Calculate[[#This Row],[EC_cancelation_ds]]</f>
        <v>-146.61288486861122</v>
      </c>
      <c r="T104" s="1">
        <f>(POWER(10,Calculate[[#This Row],[AFE_noise_us]]/10)+POWER(10,Calculate[[#This Row],[Echo_res_us]]/10))</f>
        <v>1.2181280481023241E-14</v>
      </c>
      <c r="U104" s="1">
        <f>(POWER(10,Calculate[[#This Row],[AFE_noise_ds]]/10)+POWER(10,Calculate[[#This Row],[Echo_res_ds]]/10))</f>
        <v>1.2181280481023241E-14</v>
      </c>
      <c r="V104" s="2">
        <f>10*LOG10(Calculate[[#This Row],[Linear_Noise_us]])</f>
        <v>-139.14307056808812</v>
      </c>
      <c r="W104" s="2">
        <f>10*LOG10(Calculate[[#This Row],[Linear_Noise_ds]])</f>
        <v>-139.14307056808812</v>
      </c>
      <c r="X104" s="2">
        <f>Calculate[[#This Row],[Rx_PSD_us]]-Calculate[[#This Row],[Noise_us]]</f>
        <v>18.014082958470766</v>
      </c>
      <c r="Y104" s="2">
        <f>Calculate[[#This Row],[Rx_PSD_ds]]-Calculate[[#This Row],[Noise_ds]]</f>
        <v>18.014082958470766</v>
      </c>
      <c r="Z104" s="2">
        <f>POWER(10,Calculate[[#This Row],[SNRdB_us]]/10)</f>
        <v>63.300668404886679</v>
      </c>
      <c r="AA104" s="2">
        <f>POWER(10,Calculate[[#This Row],[SNRdB_ds]]/10)</f>
        <v>63.300668404886679</v>
      </c>
      <c r="AB104" s="2">
        <f>-(0.002*Calculate[[#This Row],[Freq]]/1000000/2.5+0.68*(Calculate[[#This Row],[Freq]]/1000000/2.5)^0.45)</f>
        <v>-23.806252177576393</v>
      </c>
      <c r="AC104" s="2"/>
    </row>
    <row r="105" spans="1:29" x14ac:dyDescent="0.25">
      <c r="A105" s="33">
        <f t="shared" si="19"/>
        <v>4680000000</v>
      </c>
      <c r="B105" s="1">
        <f>Calculate[[#This Row],[Freq]]-A104</f>
        <v>45000000</v>
      </c>
      <c r="C105" s="1">
        <f>Channels!B105*cable_length</f>
        <v>-20.685554157132422</v>
      </c>
      <c r="D105" s="1">
        <f>Channels!C105*PCB_trace_length</f>
        <v>-1.6081557226500669</v>
      </c>
      <c r="E105" s="1">
        <f>Calculate[[#This Row],[IL_Cable]]+Calculate[[#This Row],[IL_PCB]]</f>
        <v>-22.29370987978249</v>
      </c>
      <c r="F105" s="2">
        <f>Masks!A105</f>
        <v>-99.004795216253555</v>
      </c>
      <c r="G105" s="2">
        <f>Masks!B105</f>
        <v>-99.004795216253555</v>
      </c>
      <c r="H105" s="2">
        <f>Calculate[[#This Row],[Tx_PSD_us]]+Calculate[[#This Row],[IL]]</f>
        <v>-121.29850509603605</v>
      </c>
      <c r="I105" s="2">
        <f>Calculate[[#This Row],[Tx_PSD_ds]]+Calculate[[#This Row],[IL]]</f>
        <v>-121.29850509603605</v>
      </c>
      <c r="J105" s="2">
        <f>Masks[[#This Row],[channel_echo]]</f>
        <v>-10.832906246612794</v>
      </c>
      <c r="K105" s="2">
        <f>Masks[[#This Row],[channel_echo]]</f>
        <v>-10.832906246612794</v>
      </c>
      <c r="L105" s="2">
        <f>Calculate[[#This Row],[Echo_transfer_us]]+Calculate[[#This Row],[Tx_PSD_ds]]</f>
        <v>-109.83770146286635</v>
      </c>
      <c r="M105" s="2">
        <f>Calculate[[#This Row],[Echo_transfer_ds]]+Calculate[[#This Row],[Tx_PSD_us]]</f>
        <v>-109.83770146286635</v>
      </c>
      <c r="N105" s="2">
        <f t="shared" si="15"/>
        <v>-140</v>
      </c>
      <c r="O105" s="2">
        <f t="shared" si="16"/>
        <v>-140</v>
      </c>
      <c r="P105" s="2">
        <f t="shared" si="17"/>
        <v>6</v>
      </c>
      <c r="Q105" s="2">
        <f t="shared" si="18"/>
        <v>6</v>
      </c>
      <c r="R105" s="2">
        <f>10*LOG10((10^(Calculate[[#This Row],[Rx_echo_us]]/10))-(10^((Masks[[#This Row],[connector_echo]]+Calculate[[#This Row],[Tx_PSD_ds]])/10))*EC_conector_ratio_us)-Calculate[[#This Row],[EC_cancelation_us]]</f>
        <v>-146.64560896291815</v>
      </c>
      <c r="S105" s="2">
        <f>10*LOG10((10^(Calculate[[#This Row],[Rx_echo_ds]]/10))-(10^((Masks[[#This Row],[connector_echo]]+Calculate[[#This Row],[Tx_PSD_us]])/10))*EC_conector_ratio_ds)-Calculate[[#This Row],[EC_cancelation_ds]]</f>
        <v>-146.64560896291815</v>
      </c>
      <c r="T105" s="1">
        <f>(POWER(10,Calculate[[#This Row],[AFE_noise_us]]/10)+POWER(10,Calculate[[#This Row],[Echo_res_us]]/10))</f>
        <v>1.2164906297258379E-14</v>
      </c>
      <c r="U105" s="1">
        <f>(POWER(10,Calculate[[#This Row],[AFE_noise_ds]]/10)+POWER(10,Calculate[[#This Row],[Echo_res_ds]]/10))</f>
        <v>1.2164906297258379E-14</v>
      </c>
      <c r="V105" s="2">
        <f>10*LOG10(Calculate[[#This Row],[Linear_Noise_us]])</f>
        <v>-139.14891231964594</v>
      </c>
      <c r="W105" s="2">
        <f>10*LOG10(Calculate[[#This Row],[Linear_Noise_ds]])</f>
        <v>-139.14891231964594</v>
      </c>
      <c r="X105" s="2">
        <f>Calculate[[#This Row],[Rx_PSD_us]]-Calculate[[#This Row],[Noise_us]]</f>
        <v>17.850407223609892</v>
      </c>
      <c r="Y105" s="2">
        <f>Calculate[[#This Row],[Rx_PSD_ds]]-Calculate[[#This Row],[Noise_ds]]</f>
        <v>17.850407223609892</v>
      </c>
      <c r="Z105" s="2">
        <f>POWER(10,Calculate[[#This Row],[SNRdB_us]]/10)</f>
        <v>60.959405418405133</v>
      </c>
      <c r="AA105" s="2">
        <f>POWER(10,Calculate[[#This Row],[SNRdB_ds]]/10)</f>
        <v>60.959405418405133</v>
      </c>
      <c r="AB105" s="2">
        <f>-(0.002*Calculate[[#This Row],[Freq]]/1000000/2.5+0.68*(Calculate[[#This Row],[Freq]]/1000000/2.5)^0.45)</f>
        <v>-23.929826805634903</v>
      </c>
      <c r="AC105" s="2"/>
    </row>
    <row r="106" spans="1:29" x14ac:dyDescent="0.25">
      <c r="A106" s="33">
        <f t="shared" si="19"/>
        <v>4725000000</v>
      </c>
      <c r="B106" s="1">
        <f>Calculate[[#This Row],[Freq]]-A105</f>
        <v>45000000</v>
      </c>
      <c r="C106" s="1">
        <f>Channels!B106*cable_length</f>
        <v>-20.807636625967373</v>
      </c>
      <c r="D106" s="1">
        <f>Channels!C106*PCB_trace_length</f>
        <v>-1.6224928032882691</v>
      </c>
      <c r="E106" s="1">
        <f>Calculate[[#This Row],[IL_Cable]]+Calculate[[#This Row],[IL_PCB]]</f>
        <v>-22.430129429255643</v>
      </c>
      <c r="F106" s="2">
        <f>Masks!A106</f>
        <v>-99.037888974522176</v>
      </c>
      <c r="G106" s="2">
        <f>Masks!B106</f>
        <v>-99.037888974522176</v>
      </c>
      <c r="H106" s="2">
        <f>Calculate[[#This Row],[Tx_PSD_us]]+Calculate[[#This Row],[IL]]</f>
        <v>-121.46801840377782</v>
      </c>
      <c r="I106" s="2">
        <f>Calculate[[#This Row],[Tx_PSD_ds]]+Calculate[[#This Row],[IL]]</f>
        <v>-121.46801840377782</v>
      </c>
      <c r="J106" s="2">
        <f>Masks[[#This Row],[channel_echo]]</f>
        <v>-10.792844328822754</v>
      </c>
      <c r="K106" s="2">
        <f>Masks[[#This Row],[channel_echo]]</f>
        <v>-10.792844328822754</v>
      </c>
      <c r="L106" s="2">
        <f>Calculate[[#This Row],[Echo_transfer_us]]+Calculate[[#This Row],[Tx_PSD_ds]]</f>
        <v>-109.83073330334493</v>
      </c>
      <c r="M106" s="2">
        <f>Calculate[[#This Row],[Echo_transfer_ds]]+Calculate[[#This Row],[Tx_PSD_us]]</f>
        <v>-109.83073330334493</v>
      </c>
      <c r="N106" s="2">
        <f t="shared" si="15"/>
        <v>-140</v>
      </c>
      <c r="O106" s="2">
        <f t="shared" si="16"/>
        <v>-140</v>
      </c>
      <c r="P106" s="2">
        <f t="shared" si="17"/>
        <v>6</v>
      </c>
      <c r="Q106" s="2">
        <f t="shared" si="18"/>
        <v>6</v>
      </c>
      <c r="R106" s="2">
        <f>10*LOG10((10^(Calculate[[#This Row],[Rx_echo_us]]/10))-(10^((Masks[[#This Row],[connector_echo]]+Calculate[[#This Row],[Tx_PSD_ds]])/10))*EC_conector_ratio_us)-Calculate[[#This Row],[EC_cancelation_us]]</f>
        <v>-146.67870272119677</v>
      </c>
      <c r="S106" s="2">
        <f>10*LOG10((10^(Calculate[[#This Row],[Rx_echo_ds]]/10))-(10^((Masks[[#This Row],[connector_echo]]+Calculate[[#This Row],[Tx_PSD_us]])/10))*EC_conector_ratio_ds)-Calculate[[#This Row],[EC_cancelation_ds]]</f>
        <v>-146.67870272119677</v>
      </c>
      <c r="T106" s="1">
        <f>(POWER(10,Calculate[[#This Row],[AFE_noise_us]]/10)+POWER(10,Calculate[[#This Row],[Echo_res_us]]/10))</f>
        <v>1.2148472147293994E-14</v>
      </c>
      <c r="U106" s="1">
        <f>(POWER(10,Calculate[[#This Row],[AFE_noise_ds]]/10)+POWER(10,Calculate[[#This Row],[Echo_res_ds]]/10))</f>
        <v>1.2148472147293994E-14</v>
      </c>
      <c r="V106" s="2">
        <f>10*LOG10(Calculate[[#This Row],[Linear_Noise_us]])</f>
        <v>-139.15478337680693</v>
      </c>
      <c r="W106" s="2">
        <f>10*LOG10(Calculate[[#This Row],[Linear_Noise_ds]])</f>
        <v>-139.15478337680693</v>
      </c>
      <c r="X106" s="2">
        <f>Calculate[[#This Row],[Rx_PSD_us]]-Calculate[[#This Row],[Noise_us]]</f>
        <v>17.686764973029113</v>
      </c>
      <c r="Y106" s="2">
        <f>Calculate[[#This Row],[Rx_PSD_ds]]-Calculate[[#This Row],[Noise_ds]]</f>
        <v>17.686764973029113</v>
      </c>
      <c r="Z106" s="2">
        <f>POWER(10,Calculate[[#This Row],[SNRdB_us]]/10)</f>
        <v>58.705189907250414</v>
      </c>
      <c r="AA106" s="2">
        <f>POWER(10,Calculate[[#This Row],[SNRdB_ds]]/10)</f>
        <v>58.705189907250414</v>
      </c>
      <c r="AB106" s="2">
        <f>-(0.002*Calculate[[#This Row],[Freq]]/1000000/2.5+0.68*(Calculate[[#This Row],[Freq]]/1000000/2.5)^0.45)</f>
        <v>-24.052939512069642</v>
      </c>
      <c r="AC106" s="2"/>
    </row>
    <row r="107" spans="1:29" x14ac:dyDescent="0.25">
      <c r="A107" s="33">
        <f t="shared" si="19"/>
        <v>4770000000</v>
      </c>
      <c r="B107" s="1">
        <f>Calculate[[#This Row],[Freq]]-A106</f>
        <v>45000000</v>
      </c>
      <c r="C107" s="1">
        <f>Channels!B107*cable_length</f>
        <v>-20.929355903748981</v>
      </c>
      <c r="D107" s="1">
        <f>Channels!C107*PCB_trace_length</f>
        <v>-1.636824560412689</v>
      </c>
      <c r="E107" s="1">
        <f>Calculate[[#This Row],[IL_Cable]]+Calculate[[#This Row],[IL_PCB]]</f>
        <v>-22.566180464161668</v>
      </c>
      <c r="F107" s="2">
        <f>Masks!A107</f>
        <v>-99.071354189514295</v>
      </c>
      <c r="G107" s="2">
        <f>Masks!B107</f>
        <v>-99.071354189514295</v>
      </c>
      <c r="H107" s="2">
        <f>Calculate[[#This Row],[Tx_PSD_us]]+Calculate[[#This Row],[IL]]</f>
        <v>-121.63753465367597</v>
      </c>
      <c r="I107" s="2">
        <f>Calculate[[#This Row],[Tx_PSD_ds]]+Calculate[[#This Row],[IL]]</f>
        <v>-121.63753465367597</v>
      </c>
      <c r="J107" s="2">
        <f>Masks[[#This Row],[channel_echo]]</f>
        <v>-10.753148590810031</v>
      </c>
      <c r="K107" s="2">
        <f>Masks[[#This Row],[channel_echo]]</f>
        <v>-10.753148590810031</v>
      </c>
      <c r="L107" s="2">
        <f>Calculate[[#This Row],[Echo_transfer_us]]+Calculate[[#This Row],[Tx_PSD_ds]]</f>
        <v>-109.82450278032432</v>
      </c>
      <c r="M107" s="2">
        <f>Calculate[[#This Row],[Echo_transfer_ds]]+Calculate[[#This Row],[Tx_PSD_us]]</f>
        <v>-109.82450278032432</v>
      </c>
      <c r="N107" s="2">
        <f t="shared" si="15"/>
        <v>-140</v>
      </c>
      <c r="O107" s="2">
        <f t="shared" si="16"/>
        <v>-140</v>
      </c>
      <c r="P107" s="2">
        <f t="shared" si="17"/>
        <v>6</v>
      </c>
      <c r="Q107" s="2">
        <f t="shared" si="18"/>
        <v>6</v>
      </c>
      <c r="R107" s="2">
        <f>10*LOG10((10^(Calculate[[#This Row],[Rx_echo_us]]/10))-(10^((Masks[[#This Row],[connector_echo]]+Calculate[[#This Row],[Tx_PSD_ds]])/10))*EC_conector_ratio_us)-Calculate[[#This Row],[EC_cancelation_us]]</f>
        <v>-146.71216793616219</v>
      </c>
      <c r="S107" s="2">
        <f>10*LOG10((10^(Calculate[[#This Row],[Rx_echo_ds]]/10))-(10^((Masks[[#This Row],[connector_echo]]+Calculate[[#This Row],[Tx_PSD_us]])/10))*EC_conector_ratio_ds)-Calculate[[#This Row],[EC_cancelation_ds]]</f>
        <v>-146.71216793616219</v>
      </c>
      <c r="T107" s="1">
        <f>(POWER(10,Calculate[[#This Row],[AFE_noise_us]]/10)+POWER(10,Calculate[[#This Row],[Echo_res_us]]/10))</f>
        <v>1.2131980393242723E-14</v>
      </c>
      <c r="U107" s="1">
        <f>(POWER(10,Calculate[[#This Row],[AFE_noise_ds]]/10)+POWER(10,Calculate[[#This Row],[Echo_res_ds]]/10))</f>
        <v>1.2131980393242723E-14</v>
      </c>
      <c r="V107" s="2">
        <f>10*LOG10(Calculate[[#This Row],[Linear_Noise_us]])</f>
        <v>-139.16068300233562</v>
      </c>
      <c r="W107" s="2">
        <f>10*LOG10(Calculate[[#This Row],[Linear_Noise_ds]])</f>
        <v>-139.16068300233562</v>
      </c>
      <c r="X107" s="2">
        <f>Calculate[[#This Row],[Rx_PSD_us]]-Calculate[[#This Row],[Noise_us]]</f>
        <v>17.523148348659646</v>
      </c>
      <c r="Y107" s="2">
        <f>Calculate[[#This Row],[Rx_PSD_ds]]-Calculate[[#This Row],[Noise_ds]]</f>
        <v>17.523148348659646</v>
      </c>
      <c r="Z107" s="2">
        <f>POWER(10,Calculate[[#This Row],[SNRdB_us]]/10)</f>
        <v>56.534666535362589</v>
      </c>
      <c r="AA107" s="2">
        <f>POWER(10,Calculate[[#This Row],[SNRdB_ds]]/10)</f>
        <v>56.534666535362589</v>
      </c>
      <c r="AB107" s="2">
        <f>-(0.002*Calculate[[#This Row],[Freq]]/1000000/2.5+0.68*(Calculate[[#This Row],[Freq]]/1000000/2.5)^0.45)</f>
        <v>-24.175597098101878</v>
      </c>
      <c r="AC107" s="2"/>
    </row>
    <row r="108" spans="1:29" x14ac:dyDescent="0.25">
      <c r="A108" s="33">
        <f t="shared" si="19"/>
        <v>4815000000</v>
      </c>
      <c r="B108" s="1">
        <f>Calculate[[#This Row],[Freq]]-A107</f>
        <v>45000000</v>
      </c>
      <c r="C108" s="1">
        <f>Channels!B108*cable_length</f>
        <v>-21.050717118023307</v>
      </c>
      <c r="D108" s="1">
        <f>Channels!C108*PCB_trace_length</f>
        <v>-1.6511510691809104</v>
      </c>
      <c r="E108" s="1">
        <f>Calculate[[#This Row],[IL_Cable]]+Calculate[[#This Row],[IL_PCB]]</f>
        <v>-22.701868187204219</v>
      </c>
      <c r="F108" s="2">
        <f>Masks!A108</f>
        <v>-99.10519268495284</v>
      </c>
      <c r="G108" s="2">
        <f>Masks!B108</f>
        <v>-99.10519268495284</v>
      </c>
      <c r="H108" s="2">
        <f>Calculate[[#This Row],[Tx_PSD_us]]+Calculate[[#This Row],[IL]]</f>
        <v>-121.80706087215705</v>
      </c>
      <c r="I108" s="2">
        <f>Calculate[[#This Row],[Tx_PSD_ds]]+Calculate[[#This Row],[IL]]</f>
        <v>-121.80706087215705</v>
      </c>
      <c r="J108" s="2">
        <f>Masks[[#This Row],[channel_echo]]</f>
        <v>-10.71381239914124</v>
      </c>
      <c r="K108" s="2">
        <f>Masks[[#This Row],[channel_echo]]</f>
        <v>-10.71381239914124</v>
      </c>
      <c r="L108" s="2">
        <f>Calculate[[#This Row],[Echo_transfer_us]]+Calculate[[#This Row],[Tx_PSD_ds]]</f>
        <v>-109.81900508409407</v>
      </c>
      <c r="M108" s="2">
        <f>Calculate[[#This Row],[Echo_transfer_ds]]+Calculate[[#This Row],[Tx_PSD_us]]</f>
        <v>-109.81900508409407</v>
      </c>
      <c r="N108" s="2">
        <f t="shared" si="15"/>
        <v>-140</v>
      </c>
      <c r="O108" s="2">
        <f t="shared" si="16"/>
        <v>-140</v>
      </c>
      <c r="P108" s="2">
        <f t="shared" si="17"/>
        <v>6</v>
      </c>
      <c r="Q108" s="2">
        <f t="shared" si="18"/>
        <v>6</v>
      </c>
      <c r="R108" s="2">
        <f>10*LOG10((10^(Calculate[[#This Row],[Rx_echo_us]]/10))-(10^((Masks[[#This Row],[connector_echo]]+Calculate[[#This Row],[Tx_PSD_ds]])/10))*EC_conector_ratio_us)-Calculate[[#This Row],[EC_cancelation_us]]</f>
        <v>-146.74600643158408</v>
      </c>
      <c r="S108" s="2">
        <f>10*LOG10((10^(Calculate[[#This Row],[Rx_echo_ds]]/10))-(10^((Masks[[#This Row],[connector_echo]]+Calculate[[#This Row],[Tx_PSD_us]])/10))*EC_conector_ratio_ds)-Calculate[[#This Row],[EC_cancelation_ds]]</f>
        <v>-146.74600643158408</v>
      </c>
      <c r="T108" s="1">
        <f>(POWER(10,Calculate[[#This Row],[AFE_noise_us]]/10)+POWER(10,Calculate[[#This Row],[Echo_res_us]]/10))</f>
        <v>1.2115433399090465E-14</v>
      </c>
      <c r="U108" s="1">
        <f>(POWER(10,Calculate[[#This Row],[AFE_noise_ds]]/10)+POWER(10,Calculate[[#This Row],[Echo_res_ds]]/10))</f>
        <v>1.2115433399090465E-14</v>
      </c>
      <c r="V108" s="2">
        <f>10*LOG10(Calculate[[#This Row],[Linear_Noise_us]])</f>
        <v>-139.1666104545823</v>
      </c>
      <c r="W108" s="2">
        <f>10*LOG10(Calculate[[#This Row],[Linear_Noise_ds]])</f>
        <v>-139.1666104545823</v>
      </c>
      <c r="X108" s="2">
        <f>Calculate[[#This Row],[Rx_PSD_us]]-Calculate[[#This Row],[Noise_us]]</f>
        <v>17.359549582425245</v>
      </c>
      <c r="Y108" s="2">
        <f>Calculate[[#This Row],[Rx_PSD_ds]]-Calculate[[#This Row],[Noise_ds]]</f>
        <v>17.359549582425245</v>
      </c>
      <c r="Z108" s="2">
        <f>POWER(10,Calculate[[#This Row],[SNRdB_us]]/10)</f>
        <v>54.444618405060574</v>
      </c>
      <c r="AA108" s="2">
        <f>POWER(10,Calculate[[#This Row],[SNRdB_ds]]/10)</f>
        <v>54.444618405060574</v>
      </c>
      <c r="AB108" s="2">
        <f>-(0.002*Calculate[[#This Row],[Freq]]/1000000/2.5+0.68*(Calculate[[#This Row],[Freq]]/1000000/2.5)^0.45)</f>
        <v>-24.297806201755762</v>
      </c>
      <c r="AC108" s="2"/>
    </row>
    <row r="109" spans="1:29" x14ac:dyDescent="0.25">
      <c r="A109" s="33">
        <f t="shared" si="19"/>
        <v>4860000000</v>
      </c>
      <c r="B109" s="1">
        <f>Calculate[[#This Row],[Freq]]-A108</f>
        <v>45000000</v>
      </c>
      <c r="C109" s="1">
        <f>Channels!B109*cable_length</f>
        <v>-21.171725276808601</v>
      </c>
      <c r="D109" s="1">
        <f>Channels!C109*PCB_trace_length</f>
        <v>-1.6654724029985251</v>
      </c>
      <c r="E109" s="1">
        <f>Calculate[[#This Row],[IL_Cable]]+Calculate[[#This Row],[IL_PCB]]</f>
        <v>-22.837197679807126</v>
      </c>
      <c r="F109" s="2">
        <f>Masks!A109</f>
        <v>-99.139406316062534</v>
      </c>
      <c r="G109" s="2">
        <f>Masks!B109</f>
        <v>-99.139406316062534</v>
      </c>
      <c r="H109" s="2">
        <f>Calculate[[#This Row],[Tx_PSD_us]]+Calculate[[#This Row],[IL]]</f>
        <v>-121.97660399586965</v>
      </c>
      <c r="I109" s="2">
        <f>Calculate[[#This Row],[Tx_PSD_ds]]+Calculate[[#This Row],[IL]]</f>
        <v>-121.97660399586965</v>
      </c>
      <c r="J109" s="2">
        <f>Masks[[#This Row],[channel_echo]]</f>
        <v>-10.674829299015549</v>
      </c>
      <c r="K109" s="2">
        <f>Masks[[#This Row],[channel_echo]]</f>
        <v>-10.674829299015549</v>
      </c>
      <c r="L109" s="2">
        <f>Calculate[[#This Row],[Echo_transfer_us]]+Calculate[[#This Row],[Tx_PSD_ds]]</f>
        <v>-109.81423561507808</v>
      </c>
      <c r="M109" s="2">
        <f>Calculate[[#This Row],[Echo_transfer_ds]]+Calculate[[#This Row],[Tx_PSD_us]]</f>
        <v>-109.81423561507808</v>
      </c>
      <c r="N109" s="2">
        <f t="shared" si="15"/>
        <v>-140</v>
      </c>
      <c r="O109" s="2">
        <f t="shared" si="16"/>
        <v>-140</v>
      </c>
      <c r="P109" s="2">
        <f t="shared" si="17"/>
        <v>6</v>
      </c>
      <c r="Q109" s="2">
        <f t="shared" si="18"/>
        <v>6</v>
      </c>
      <c r="R109" s="2">
        <f>10*LOG10((10^(Calculate[[#This Row],[Rx_echo_us]]/10))-(10^((Masks[[#This Row],[connector_echo]]+Calculate[[#This Row],[Tx_PSD_ds]])/10))*EC_conector_ratio_us)-Calculate[[#This Row],[EC_cancelation_us]]</f>
        <v>-146.78022006270857</v>
      </c>
      <c r="S109" s="2">
        <f>10*LOG10((10^(Calculate[[#This Row],[Rx_echo_ds]]/10))-(10^((Masks[[#This Row],[connector_echo]]+Calculate[[#This Row],[Tx_PSD_us]])/10))*EC_conector_ratio_ds)-Calculate[[#This Row],[EC_cancelation_ds]]</f>
        <v>-146.78022006270857</v>
      </c>
      <c r="T109" s="1">
        <f>(POWER(10,Calculate[[#This Row],[AFE_noise_us]]/10)+POWER(10,Calculate[[#This Row],[Echo_res_us]]/10))</f>
        <v>1.2098833530281983E-14</v>
      </c>
      <c r="U109" s="1">
        <f>(POWER(10,Calculate[[#This Row],[AFE_noise_ds]]/10)+POWER(10,Calculate[[#This Row],[Echo_res_ds]]/10))</f>
        <v>1.2098833530281983E-14</v>
      </c>
      <c r="V109" s="2">
        <f>10*LOG10(Calculate[[#This Row],[Linear_Noise_us]])</f>
        <v>-139.17256498756421</v>
      </c>
      <c r="W109" s="2">
        <f>10*LOG10(Calculate[[#This Row],[Linear_Noise_ds]])</f>
        <v>-139.17256498756421</v>
      </c>
      <c r="X109" s="2">
        <f>Calculate[[#This Row],[Rx_PSD_us]]-Calculate[[#This Row],[Noise_us]]</f>
        <v>17.195960991694562</v>
      </c>
      <c r="Y109" s="2">
        <f>Calculate[[#This Row],[Rx_PSD_ds]]-Calculate[[#This Row],[Noise_ds]]</f>
        <v>17.195960991694562</v>
      </c>
      <c r="Z109" s="2">
        <f>POWER(10,Calculate[[#This Row],[SNRdB_us]]/10)</f>
        <v>52.431960778877993</v>
      </c>
      <c r="AA109" s="2">
        <f>POWER(10,Calculate[[#This Row],[SNRdB_ds]]/10)</f>
        <v>52.431960778877993</v>
      </c>
      <c r="AB109" s="2">
        <f>-(0.002*Calculate[[#This Row],[Freq]]/1000000/2.5+0.68*(Calculate[[#This Row],[Freq]]/1000000/2.5)^0.45)</f>
        <v>-24.419573303259053</v>
      </c>
      <c r="AC109" s="2"/>
    </row>
    <row r="110" spans="1:29" x14ac:dyDescent="0.25">
      <c r="A110" s="33">
        <f t="shared" si="19"/>
        <v>4905000000</v>
      </c>
      <c r="B110" s="1">
        <f>Calculate[[#This Row],[Freq]]-A109</f>
        <v>45000000</v>
      </c>
      <c r="C110" s="1">
        <f>Channels!B110*cable_length</f>
        <v>-21.292385272460113</v>
      </c>
      <c r="D110" s="1">
        <f>Channels!C110*PCB_trace_length</f>
        <v>-1.6797886335757812</v>
      </c>
      <c r="E110" s="1">
        <f>Calculate[[#This Row],[IL_Cable]]+Calculate[[#This Row],[IL_PCB]]</f>
        <v>-22.972173906035895</v>
      </c>
      <c r="F110" s="2">
        <f>Masks!A110</f>
        <v>-99.173996970120768</v>
      </c>
      <c r="G110" s="2">
        <f>Masks!B110</f>
        <v>-99.173996970120768</v>
      </c>
      <c r="H110" s="2">
        <f>Calculate[[#This Row],[Tx_PSD_us]]+Calculate[[#This Row],[IL]]</f>
        <v>-122.14617087615666</v>
      </c>
      <c r="I110" s="2">
        <f>Calculate[[#This Row],[Tx_PSD_ds]]+Calculate[[#This Row],[IL]]</f>
        <v>-122.14617087615666</v>
      </c>
      <c r="J110" s="2">
        <f>Masks[[#This Row],[channel_echo]]</f>
        <v>-10.636193007907799</v>
      </c>
      <c r="K110" s="2">
        <f>Masks[[#This Row],[channel_echo]]</f>
        <v>-10.636193007907799</v>
      </c>
      <c r="L110" s="2">
        <f>Calculate[[#This Row],[Echo_transfer_us]]+Calculate[[#This Row],[Tx_PSD_ds]]</f>
        <v>-109.81018997802857</v>
      </c>
      <c r="M110" s="2">
        <f>Calculate[[#This Row],[Echo_transfer_ds]]+Calculate[[#This Row],[Tx_PSD_us]]</f>
        <v>-109.81018997802857</v>
      </c>
      <c r="N110" s="2">
        <f t="shared" si="15"/>
        <v>-140</v>
      </c>
      <c r="O110" s="2">
        <f t="shared" si="16"/>
        <v>-140</v>
      </c>
      <c r="P110" s="2">
        <f t="shared" si="17"/>
        <v>6</v>
      </c>
      <c r="Q110" s="2">
        <f t="shared" si="18"/>
        <v>6</v>
      </c>
      <c r="R110" s="2">
        <f>10*LOG10((10^(Calculate[[#This Row],[Rx_echo_us]]/10))-(10^((Masks[[#This Row],[connector_echo]]+Calculate[[#This Row],[Tx_PSD_ds]])/10))*EC_conector_ratio_us)-Calculate[[#This Row],[EC_cancelation_us]]</f>
        <v>-146.81481071680849</v>
      </c>
      <c r="S110" s="2">
        <f>10*LOG10((10^(Calculate[[#This Row],[Rx_echo_ds]]/10))-(10^((Masks[[#This Row],[connector_echo]]+Calculate[[#This Row],[Tx_PSD_us]])/10))*EC_conector_ratio_ds)-Calculate[[#This Row],[EC_cancelation_ds]]</f>
        <v>-146.81481071680849</v>
      </c>
      <c r="T110" s="1">
        <f>(POWER(10,Calculate[[#This Row],[AFE_noise_us]]/10)+POWER(10,Calculate[[#This Row],[Echo_res_us]]/10))</f>
        <v>1.2082183153249475E-14</v>
      </c>
      <c r="U110" s="1">
        <f>(POWER(10,Calculate[[#This Row],[AFE_noise_ds]]/10)+POWER(10,Calculate[[#This Row],[Echo_res_ds]]/10))</f>
        <v>1.2082183153249475E-14</v>
      </c>
      <c r="V110" s="2">
        <f>10*LOG10(Calculate[[#This Row],[Linear_Noise_us]])</f>
        <v>-139.17854585106909</v>
      </c>
      <c r="W110" s="2">
        <f>10*LOG10(Calculate[[#This Row],[Linear_Noise_ds]])</f>
        <v>-139.17854585106909</v>
      </c>
      <c r="X110" s="2">
        <f>Calculate[[#This Row],[Rx_PSD_us]]-Calculate[[#This Row],[Noise_us]]</f>
        <v>17.032374974912429</v>
      </c>
      <c r="Y110" s="2">
        <f>Calculate[[#This Row],[Rx_PSD_ds]]-Calculate[[#This Row],[Noise_ds]]</f>
        <v>17.032374974912429</v>
      </c>
      <c r="Z110" s="2">
        <f>POWER(10,Calculate[[#This Row],[SNRdB_us]]/10)</f>
        <v>50.493735119793897</v>
      </c>
      <c r="AA110" s="2">
        <f>POWER(10,Calculate[[#This Row],[SNRdB_ds]]/10)</f>
        <v>50.493735119793897</v>
      </c>
      <c r="AB110" s="2">
        <f>-(0.002*Calculate[[#This Row],[Freq]]/1000000/2.5+0.68*(Calculate[[#This Row],[Freq]]/1000000/2.5)^0.45)</f>
        <v>-24.540904730217107</v>
      </c>
      <c r="AC110" s="2"/>
    </row>
    <row r="111" spans="1:29" x14ac:dyDescent="0.25">
      <c r="A111" s="33">
        <f t="shared" si="19"/>
        <v>4950000000</v>
      </c>
      <c r="B111" s="1">
        <f>Calculate[[#This Row],[Freq]]-A110</f>
        <v>45000000</v>
      </c>
      <c r="C111" s="1">
        <f>Channels!B111*cable_length</f>
        <v>-21.412701885375736</v>
      </c>
      <c r="D111" s="1">
        <f>Channels!C111*PCB_trace_length</f>
        <v>-1.6940998309818998</v>
      </c>
      <c r="E111" s="1">
        <f>Calculate[[#This Row],[IL_Cable]]+Calculate[[#This Row],[IL_PCB]]</f>
        <v>-23.106801716357637</v>
      </c>
      <c r="F111" s="2">
        <f>Masks!A111</f>
        <v>-99.208966567022657</v>
      </c>
      <c r="G111" s="2">
        <f>Masks!B111</f>
        <v>-99.208966567022657</v>
      </c>
      <c r="H111" s="2">
        <f>Calculate[[#This Row],[Tx_PSD_us]]+Calculate[[#This Row],[IL]]</f>
        <v>-122.31576828338029</v>
      </c>
      <c r="I111" s="2">
        <f>Calculate[[#This Row],[Tx_PSD_ds]]+Calculate[[#This Row],[IL]]</f>
        <v>-122.31576828338029</v>
      </c>
      <c r="J111" s="2">
        <f>Masks[[#This Row],[channel_echo]]</f>
        <v>-10.597897409491928</v>
      </c>
      <c r="K111" s="2">
        <f>Masks[[#This Row],[channel_echo]]</f>
        <v>-10.597897409491928</v>
      </c>
      <c r="L111" s="2">
        <f>Calculate[[#This Row],[Echo_transfer_us]]+Calculate[[#This Row],[Tx_PSD_ds]]</f>
        <v>-109.80686397651459</v>
      </c>
      <c r="M111" s="2">
        <f>Calculate[[#This Row],[Echo_transfer_ds]]+Calculate[[#This Row],[Tx_PSD_us]]</f>
        <v>-109.80686397651459</v>
      </c>
      <c r="N111" s="2">
        <f t="shared" si="15"/>
        <v>-140</v>
      </c>
      <c r="O111" s="2">
        <f t="shared" si="16"/>
        <v>-140</v>
      </c>
      <c r="P111" s="2">
        <f t="shared" si="17"/>
        <v>6</v>
      </c>
      <c r="Q111" s="2">
        <f t="shared" si="18"/>
        <v>6</v>
      </c>
      <c r="R111" s="2">
        <f>10*LOG10((10^(Calculate[[#This Row],[Rx_echo_us]]/10))-(10^((Masks[[#This Row],[connector_echo]]+Calculate[[#This Row],[Tx_PSD_ds]])/10))*EC_conector_ratio_us)-Calculate[[#This Row],[EC_cancelation_us]]</f>
        <v>-146.84978031369525</v>
      </c>
      <c r="S111" s="2">
        <f>10*LOG10((10^(Calculate[[#This Row],[Rx_echo_ds]]/10))-(10^((Masks[[#This Row],[connector_echo]]+Calculate[[#This Row],[Tx_PSD_us]])/10))*EC_conector_ratio_ds)-Calculate[[#This Row],[EC_cancelation_ds]]</f>
        <v>-146.84978031369525</v>
      </c>
      <c r="T111" s="1">
        <f>(POWER(10,Calculate[[#This Row],[AFE_noise_us]]/10)+POWER(10,Calculate[[#This Row],[Echo_res_us]]/10))</f>
        <v>1.2065484634966826E-14</v>
      </c>
      <c r="U111" s="1">
        <f>(POWER(10,Calculate[[#This Row],[AFE_noise_ds]]/10)+POWER(10,Calculate[[#This Row],[Echo_res_ds]]/10))</f>
        <v>1.2065484634966826E-14</v>
      </c>
      <c r="V111" s="2">
        <f>10*LOG10(Calculate[[#This Row],[Linear_Noise_us]])</f>
        <v>-139.18455229075153</v>
      </c>
      <c r="W111" s="2">
        <f>10*LOG10(Calculate[[#This Row],[Linear_Noise_ds]])</f>
        <v>-139.18455229075153</v>
      </c>
      <c r="X111" s="2">
        <f>Calculate[[#This Row],[Rx_PSD_us]]-Calculate[[#This Row],[Noise_us]]</f>
        <v>16.868784007371232</v>
      </c>
      <c r="Y111" s="2">
        <f>Calculate[[#This Row],[Rx_PSD_ds]]-Calculate[[#This Row],[Noise_ds]]</f>
        <v>16.868784007371232</v>
      </c>
      <c r="Z111" s="2">
        <f>POWER(10,Calculate[[#This Row],[SNRdB_us]]/10)</f>
        <v>48.627103431333381</v>
      </c>
      <c r="AA111" s="2">
        <f>POWER(10,Calculate[[#This Row],[SNRdB_ds]]/10)</f>
        <v>48.627103431333381</v>
      </c>
      <c r="AB111" s="2">
        <f>-(0.002*Calculate[[#This Row],[Freq]]/1000000/2.5+0.68*(Calculate[[#This Row],[Freq]]/1000000/2.5)^0.45)</f>
        <v>-24.661806662571365</v>
      </c>
      <c r="AC111" s="2"/>
    </row>
    <row r="112" spans="1:29" x14ac:dyDescent="0.25">
      <c r="A112" s="33">
        <f t="shared" si="19"/>
        <v>4995000000</v>
      </c>
      <c r="B112" s="1">
        <f>Calculate[[#This Row],[Freq]]-A111</f>
        <v>45000000</v>
      </c>
      <c r="C112" s="1">
        <f>Channels!B112*cable_length</f>
        <v>-21.532679787550371</v>
      </c>
      <c r="D112" s="1">
        <f>Channels!C112*PCB_trace_length</f>
        <v>-1.7084060636971719</v>
      </c>
      <c r="E112" s="1">
        <f>Calculate[[#This Row],[IL_Cable]]+Calculate[[#This Row],[IL_PCB]]</f>
        <v>-23.241085851247544</v>
      </c>
      <c r="F112" s="2">
        <f>Masks!A112</f>
        <v>-99.244317059860435</v>
      </c>
      <c r="G112" s="2">
        <f>Masks!B112</f>
        <v>-99.244317059860435</v>
      </c>
      <c r="H112" s="2">
        <f>Calculate[[#This Row],[Tx_PSD_us]]+Calculate[[#This Row],[IL]]</f>
        <v>-122.48540291110798</v>
      </c>
      <c r="I112" s="2">
        <f>Calculate[[#This Row],[Tx_PSD_ds]]+Calculate[[#This Row],[IL]]</f>
        <v>-122.48540291110798</v>
      </c>
      <c r="J112" s="2">
        <f>Masks[[#This Row],[channel_echo]]</f>
        <v>-10.559936547829942</v>
      </c>
      <c r="K112" s="2">
        <f>Masks[[#This Row],[channel_echo]]</f>
        <v>-10.559936547829942</v>
      </c>
      <c r="L112" s="2">
        <f>Calculate[[#This Row],[Echo_transfer_us]]+Calculate[[#This Row],[Tx_PSD_ds]]</f>
        <v>-109.80425360769038</v>
      </c>
      <c r="M112" s="2">
        <f>Calculate[[#This Row],[Echo_transfer_ds]]+Calculate[[#This Row],[Tx_PSD_us]]</f>
        <v>-109.80425360769038</v>
      </c>
      <c r="N112" s="2">
        <f t="shared" si="15"/>
        <v>-140</v>
      </c>
      <c r="O112" s="2">
        <f t="shared" si="16"/>
        <v>-140</v>
      </c>
      <c r="P112" s="2">
        <f t="shared" si="17"/>
        <v>6</v>
      </c>
      <c r="Q112" s="2">
        <f t="shared" si="18"/>
        <v>6</v>
      </c>
      <c r="R112" s="2">
        <f>10*LOG10((10^(Calculate[[#This Row],[Rx_echo_us]]/10))-(10^((Masks[[#This Row],[connector_echo]]+Calculate[[#This Row],[Tx_PSD_ds]])/10))*EC_conector_ratio_us)-Calculate[[#This Row],[EC_cancelation_us]]</f>
        <v>-146.88513080655616</v>
      </c>
      <c r="S112" s="2">
        <f>10*LOG10((10^(Calculate[[#This Row],[Rx_echo_ds]]/10))-(10^((Masks[[#This Row],[connector_echo]]+Calculate[[#This Row],[Tx_PSD_us]])/10))*EC_conector_ratio_ds)-Calculate[[#This Row],[EC_cancelation_ds]]</f>
        <v>-146.88513080655616</v>
      </c>
      <c r="T112" s="1">
        <f>(POWER(10,Calculate[[#This Row],[AFE_noise_us]]/10)+POWER(10,Calculate[[#This Row],[Echo_res_us]]/10))</f>
        <v>1.2048740342356859E-14</v>
      </c>
      <c r="U112" s="1">
        <f>(POWER(10,Calculate[[#This Row],[AFE_noise_ds]]/10)+POWER(10,Calculate[[#This Row],[Echo_res_ds]]/10))</f>
        <v>1.2048740342356859E-14</v>
      </c>
      <c r="V112" s="2">
        <f>10*LOG10(Calculate[[#This Row],[Linear_Noise_us]])</f>
        <v>-139.19058354828476</v>
      </c>
      <c r="W112" s="2">
        <f>10*LOG10(Calculate[[#This Row],[Linear_Noise_ds]])</f>
        <v>-139.19058354828476</v>
      </c>
      <c r="X112" s="2">
        <f>Calculate[[#This Row],[Rx_PSD_us]]-Calculate[[#This Row],[Noise_us]]</f>
        <v>16.705180637176781</v>
      </c>
      <c r="Y112" s="2">
        <f>Calculate[[#This Row],[Rx_PSD_ds]]-Calculate[[#This Row],[Noise_ds]]</f>
        <v>16.705180637176781</v>
      </c>
      <c r="Z112" s="2">
        <f>POWER(10,Calculate[[#This Row],[SNRdB_us]]/10)</f>
        <v>46.829342881280894</v>
      </c>
      <c r="AA112" s="2">
        <f>POWER(10,Calculate[[#This Row],[SNRdB_ds]]/10)</f>
        <v>46.829342881280894</v>
      </c>
      <c r="AB112" s="2">
        <f>-(0.002*Calculate[[#This Row],[Freq]]/1000000/2.5+0.68*(Calculate[[#This Row],[Freq]]/1000000/2.5)^0.45)</f>
        <v>-24.782285137353071</v>
      </c>
      <c r="AC112" s="2"/>
    </row>
    <row r="113" spans="1:29" x14ac:dyDescent="0.25">
      <c r="A113" s="33">
        <f t="shared" si="19"/>
        <v>5040000000</v>
      </c>
      <c r="B113" s="1">
        <f>Calculate[[#This Row],[Freq]]-A112</f>
        <v>45000000</v>
      </c>
      <c r="C113" s="1">
        <f>Channels!B113*cable_length</f>
        <v>-21.652323545986516</v>
      </c>
      <c r="D113" s="1">
        <f>Channels!C113*PCB_trace_length</f>
        <v>-1.7227073986629517</v>
      </c>
      <c r="E113" s="1">
        <f>Calculate[[#This Row],[IL_Cable]]+Calculate[[#This Row],[IL_PCB]]</f>
        <v>-23.375030944649467</v>
      </c>
      <c r="F113" s="2">
        <f>Masks!A113</f>
        <v>-99.280050435518007</v>
      </c>
      <c r="G113" s="2">
        <f>Masks!B113</f>
        <v>-99.280050435518007</v>
      </c>
      <c r="H113" s="2">
        <f>Calculate[[#This Row],[Tx_PSD_us]]+Calculate[[#This Row],[IL]]</f>
        <v>-122.65508138016747</v>
      </c>
      <c r="I113" s="2">
        <f>Calculate[[#This Row],[Tx_PSD_ds]]+Calculate[[#This Row],[IL]]</f>
        <v>-122.65508138016747</v>
      </c>
      <c r="J113" s="2">
        <f>Masks[[#This Row],[channel_echo]]</f>
        <v>-10.522304621812683</v>
      </c>
      <c r="K113" s="2">
        <f>Masks[[#This Row],[channel_echo]]</f>
        <v>-10.522304621812683</v>
      </c>
      <c r="L113" s="2">
        <f>Calculate[[#This Row],[Echo_transfer_us]]+Calculate[[#This Row],[Tx_PSD_ds]]</f>
        <v>-109.80235505733069</v>
      </c>
      <c r="M113" s="2">
        <f>Calculate[[#This Row],[Echo_transfer_ds]]+Calculate[[#This Row],[Tx_PSD_us]]</f>
        <v>-109.80235505733069</v>
      </c>
      <c r="N113" s="2">
        <f t="shared" si="15"/>
        <v>-140</v>
      </c>
      <c r="O113" s="2">
        <f t="shared" si="16"/>
        <v>-140</v>
      </c>
      <c r="P113" s="2">
        <f t="shared" si="17"/>
        <v>6</v>
      </c>
      <c r="Q113" s="2">
        <f t="shared" si="18"/>
        <v>6</v>
      </c>
      <c r="R113" s="2">
        <f>10*LOG10((10^(Calculate[[#This Row],[Rx_echo_us]]/10))-(10^((Masks[[#This Row],[connector_echo]]+Calculate[[#This Row],[Tx_PSD_ds]])/10))*EC_conector_ratio_us)-Calculate[[#This Row],[EC_cancelation_us]]</f>
        <v>-146.92086418213853</v>
      </c>
      <c r="S113" s="2">
        <f>10*LOG10((10^(Calculate[[#This Row],[Rx_echo_ds]]/10))-(10^((Masks[[#This Row],[connector_echo]]+Calculate[[#This Row],[Tx_PSD_us]])/10))*EC_conector_ratio_ds)-Calculate[[#This Row],[EC_cancelation_ds]]</f>
        <v>-146.92086418213853</v>
      </c>
      <c r="T113" s="1">
        <f>(POWER(10,Calculate[[#This Row],[AFE_noise_us]]/10)+POWER(10,Calculate[[#This Row],[Echo_res_us]]/10))</f>
        <v>1.2031952642018088E-14</v>
      </c>
      <c r="U113" s="1">
        <f>(POWER(10,Calculate[[#This Row],[AFE_noise_ds]]/10)+POWER(10,Calculate[[#This Row],[Echo_res_ds]]/10))</f>
        <v>1.2031952642018088E-14</v>
      </c>
      <c r="V113" s="2">
        <f>10*LOG10(Calculate[[#This Row],[Linear_Noise_us]])</f>
        <v>-139.19663886139958</v>
      </c>
      <c r="W113" s="2">
        <f>10*LOG10(Calculate[[#This Row],[Linear_Noise_ds]])</f>
        <v>-139.19663886139958</v>
      </c>
      <c r="X113" s="2">
        <f>Calculate[[#This Row],[Rx_PSD_us]]-Calculate[[#This Row],[Noise_us]]</f>
        <v>16.541557481232104</v>
      </c>
      <c r="Y113" s="2">
        <f>Calculate[[#This Row],[Rx_PSD_ds]]-Calculate[[#This Row],[Noise_ds]]</f>
        <v>16.541557481232104</v>
      </c>
      <c r="Z113" s="2">
        <f>POWER(10,Calculate[[#This Row],[SNRdB_us]]/10)</f>
        <v>45.097840691217471</v>
      </c>
      <c r="AA113" s="2">
        <f>POWER(10,Calculate[[#This Row],[SNRdB_ds]]/10)</f>
        <v>45.097840691217471</v>
      </c>
      <c r="AB113" s="2">
        <f>-(0.002*Calculate[[#This Row],[Freq]]/1000000/2.5+0.68*(Calculate[[#This Row],[Freq]]/1000000/2.5)^0.45)</f>
        <v>-24.902346053242866</v>
      </c>
      <c r="AC113" s="2"/>
    </row>
    <row r="114" spans="1:29" x14ac:dyDescent="0.25">
      <c r="A114" s="33">
        <f t="shared" si="19"/>
        <v>5085000000</v>
      </c>
      <c r="B114" s="1">
        <f>Calculate[[#This Row],[Freq]]-A113</f>
        <v>45000000</v>
      </c>
      <c r="C114" s="1">
        <f>Channels!B114*cable_length</f>
        <v>-21.771637625968111</v>
      </c>
      <c r="D114" s="1">
        <f>Channels!C114*PCB_trace_length</f>
        <v>-1.7370039013296412</v>
      </c>
      <c r="E114" s="1">
        <f>Calculate[[#This Row],[IL_Cable]]+Calculate[[#This Row],[IL_PCB]]</f>
        <v>-23.508641527297751</v>
      </c>
      <c r="F114" s="2">
        <f>Masks!A114</f>
        <v>-99.316168715280682</v>
      </c>
      <c r="G114" s="2">
        <f>Masks!B114</f>
        <v>-99.316168715280682</v>
      </c>
      <c r="H114" s="2">
        <f>Calculate[[#This Row],[Tx_PSD_us]]+Calculate[[#This Row],[IL]]</f>
        <v>-122.82481024257844</v>
      </c>
      <c r="I114" s="2">
        <f>Calculate[[#This Row],[Tx_PSD_ds]]+Calculate[[#This Row],[IL]]</f>
        <v>-122.82481024257844</v>
      </c>
      <c r="J114" s="2">
        <f>Masks[[#This Row],[channel_echo]]</f>
        <v>-10.4849959798394</v>
      </c>
      <c r="K114" s="2">
        <f>Masks[[#This Row],[channel_echo]]</f>
        <v>-10.4849959798394</v>
      </c>
      <c r="L114" s="2">
        <f>Calculate[[#This Row],[Echo_transfer_us]]+Calculate[[#This Row],[Tx_PSD_ds]]</f>
        <v>-109.80116469512008</v>
      </c>
      <c r="M114" s="2">
        <f>Calculate[[#This Row],[Echo_transfer_ds]]+Calculate[[#This Row],[Tx_PSD_us]]</f>
        <v>-109.80116469512008</v>
      </c>
      <c r="N114" s="2">
        <f t="shared" si="15"/>
        <v>-140</v>
      </c>
      <c r="O114" s="2">
        <f t="shared" si="16"/>
        <v>-140</v>
      </c>
      <c r="P114" s="2">
        <f t="shared" si="17"/>
        <v>6</v>
      </c>
      <c r="Q114" s="2">
        <f t="shared" si="18"/>
        <v>6</v>
      </c>
      <c r="R114" s="2">
        <f>10*LOG10((10^(Calculate[[#This Row],[Rx_echo_us]]/10))-(10^((Masks[[#This Row],[connector_echo]]+Calculate[[#This Row],[Tx_PSD_ds]])/10))*EC_conector_ratio_us)-Calculate[[#This Row],[EC_cancelation_us]]</f>
        <v>-146.95698246194601</v>
      </c>
      <c r="S114" s="2">
        <f>10*LOG10((10^(Calculate[[#This Row],[Rx_echo_ds]]/10))-(10^((Masks[[#This Row],[connector_echo]]+Calculate[[#This Row],[Tx_PSD_us]])/10))*EC_conector_ratio_ds)-Calculate[[#This Row],[EC_cancelation_ds]]</f>
        <v>-146.95698246194601</v>
      </c>
      <c r="T114" s="1">
        <f>(POWER(10,Calculate[[#This Row],[AFE_noise_us]]/10)+POWER(10,Calculate[[#This Row],[Echo_res_us]]/10))</f>
        <v>1.2015123899480547E-14</v>
      </c>
      <c r="U114" s="1">
        <f>(POWER(10,Calculate[[#This Row],[AFE_noise_ds]]/10)+POWER(10,Calculate[[#This Row],[Echo_res_ds]]/10))</f>
        <v>1.2015123899480547E-14</v>
      </c>
      <c r="V114" s="2">
        <f>10*LOG10(Calculate[[#This Row],[Linear_Noise_us]])</f>
        <v>-139.20271746409537</v>
      </c>
      <c r="W114" s="2">
        <f>10*LOG10(Calculate[[#This Row],[Linear_Noise_ds]])</f>
        <v>-139.20271746409537</v>
      </c>
      <c r="X114" s="2">
        <f>Calculate[[#This Row],[Rx_PSD_us]]-Calculate[[#This Row],[Noise_us]]</f>
        <v>16.377907221516935</v>
      </c>
      <c r="Y114" s="2">
        <f>Calculate[[#This Row],[Rx_PSD_ds]]-Calculate[[#This Row],[Noise_ds]]</f>
        <v>16.377907221516935</v>
      </c>
      <c r="Z114" s="2">
        <f>POWER(10,Calculate[[#This Row],[SNRdB_us]]/10)</f>
        <v>43.430089280172574</v>
      </c>
      <c r="AA114" s="2">
        <f>POWER(10,Calculate[[#This Row],[SNRdB_ds]]/10)</f>
        <v>43.430089280172574</v>
      </c>
      <c r="AB114" s="2">
        <f>-(0.002*Calculate[[#This Row],[Freq]]/1000000/2.5+0.68*(Calculate[[#This Row],[Freq]]/1000000/2.5)^0.45)</f>
        <v>-25.021995174945388</v>
      </c>
      <c r="AC114" s="2"/>
    </row>
    <row r="115" spans="1:29" x14ac:dyDescent="0.25">
      <c r="A115" s="33">
        <f t="shared" si="19"/>
        <v>5130000000</v>
      </c>
      <c r="B115" s="1">
        <f>Calculate[[#This Row],[Freq]]-A114</f>
        <v>45000000</v>
      </c>
      <c r="C115" s="1">
        <f>Channels!B115*cable_length</f>
        <v>-21.890626394204336</v>
      </c>
      <c r="D115" s="1">
        <f>Channels!C115*PCB_trace_length</f>
        <v>-1.7512956357027725</v>
      </c>
      <c r="E115" s="1">
        <f>Calculate[[#This Row],[IL_Cable]]+Calculate[[#This Row],[IL_PCB]]</f>
        <v>-23.641922029907107</v>
      </c>
      <c r="F115" s="2">
        <f>Masks!A115</f>
        <v>-99.352673955460816</v>
      </c>
      <c r="G115" s="2">
        <f>Masks!B115</f>
        <v>-99.352673955460816</v>
      </c>
      <c r="H115" s="2">
        <f>Calculate[[#This Row],[Tx_PSD_us]]+Calculate[[#This Row],[IL]]</f>
        <v>-122.99459598536792</v>
      </c>
      <c r="I115" s="2">
        <f>Calculate[[#This Row],[Tx_PSD_ds]]+Calculate[[#This Row],[IL]]</f>
        <v>-122.99459598536792</v>
      </c>
      <c r="J115" s="2">
        <f>Masks[[#This Row],[channel_echo]]</f>
        <v>-10.448005114723864</v>
      </c>
      <c r="K115" s="2">
        <f>Masks[[#This Row],[channel_echo]]</f>
        <v>-10.448005114723864</v>
      </c>
      <c r="L115" s="2">
        <f>Calculate[[#This Row],[Echo_transfer_us]]+Calculate[[#This Row],[Tx_PSD_ds]]</f>
        <v>-109.80067907018469</v>
      </c>
      <c r="M115" s="2">
        <f>Calculate[[#This Row],[Echo_transfer_ds]]+Calculate[[#This Row],[Tx_PSD_us]]</f>
        <v>-109.80067907018469</v>
      </c>
      <c r="N115" s="2">
        <f t="shared" si="15"/>
        <v>-140</v>
      </c>
      <c r="O115" s="2">
        <f t="shared" si="16"/>
        <v>-140</v>
      </c>
      <c r="P115" s="2">
        <f t="shared" si="17"/>
        <v>6</v>
      </c>
      <c r="Q115" s="2">
        <f t="shared" si="18"/>
        <v>6</v>
      </c>
      <c r="R115" s="2">
        <f>10*LOG10((10^(Calculate[[#This Row],[Rx_echo_us]]/10))-(10^((Masks[[#This Row],[connector_echo]]+Calculate[[#This Row],[Tx_PSD_ds]])/10))*EC_conector_ratio_us)-Calculate[[#This Row],[EC_cancelation_us]]</f>
        <v>-146.99348770212939</v>
      </c>
      <c r="S115" s="2">
        <f>10*LOG10((10^(Calculate[[#This Row],[Rx_echo_ds]]/10))-(10^((Masks[[#This Row],[connector_echo]]+Calculate[[#This Row],[Tx_PSD_us]])/10))*EC_conector_ratio_ds)-Calculate[[#This Row],[EC_cancelation_ds]]</f>
        <v>-146.99348770212939</v>
      </c>
      <c r="T115" s="1">
        <f>(POWER(10,Calculate[[#This Row],[AFE_noise_us]]/10)+POWER(10,Calculate[[#This Row],[Echo_res_us]]/10))</f>
        <v>1.1998256479084383E-14</v>
      </c>
      <c r="U115" s="1">
        <f>(POWER(10,Calculate[[#This Row],[AFE_noise_ds]]/10)+POWER(10,Calculate[[#This Row],[Echo_res_ds]]/10))</f>
        <v>1.1998256479084383E-14</v>
      </c>
      <c r="V115" s="2">
        <f>10*LOG10(Calculate[[#This Row],[Linear_Noise_us]])</f>
        <v>-139.20881858662898</v>
      </c>
      <c r="W115" s="2">
        <f>10*LOG10(Calculate[[#This Row],[Linear_Noise_ds]])</f>
        <v>-139.20881858662898</v>
      </c>
      <c r="X115" s="2">
        <f>Calculate[[#This Row],[Rx_PSD_us]]-Calculate[[#This Row],[Noise_us]]</f>
        <v>16.214222601261056</v>
      </c>
      <c r="Y115" s="2">
        <f>Calculate[[#This Row],[Rx_PSD_ds]]-Calculate[[#This Row],[Noise_ds]]</f>
        <v>16.214222601261056</v>
      </c>
      <c r="Z115" s="2">
        <f>POWER(10,Calculate[[#This Row],[SNRdB_us]]/10)</f>
        <v>41.823681644170634</v>
      </c>
      <c r="AA115" s="2">
        <f>POWER(10,Calculate[[#This Row],[SNRdB_ds]]/10)</f>
        <v>41.823681644170634</v>
      </c>
      <c r="AB115" s="2">
        <f>-(0.002*Calculate[[#This Row],[Freq]]/1000000/2.5+0.68*(Calculate[[#This Row],[Freq]]/1000000/2.5)^0.45)</f>
        <v>-25.141238137388246</v>
      </c>
      <c r="AC115" s="2"/>
    </row>
    <row r="116" spans="1:29" x14ac:dyDescent="0.25">
      <c r="A116" s="33">
        <f t="shared" si="19"/>
        <v>5175000000</v>
      </c>
      <c r="B116" s="1">
        <f>Calculate[[#This Row],[Freq]]-A115</f>
        <v>45000000</v>
      </c>
      <c r="C116" s="1">
        <f>Channels!B116*cable_length</f>
        <v>-22.009294121849464</v>
      </c>
      <c r="D116" s="1">
        <f>Channels!C116*PCB_trace_length</f>
        <v>-1.7655826643872705</v>
      </c>
      <c r="E116" s="1">
        <f>Calculate[[#This Row],[IL_Cable]]+Calculate[[#This Row],[IL_PCB]]</f>
        <v>-23.774876786236735</v>
      </c>
      <c r="F116" s="2">
        <f>Masks!A116</f>
        <v>-99.389568248039708</v>
      </c>
      <c r="G116" s="2">
        <f>Masks!B116</f>
        <v>-99.389568248039708</v>
      </c>
      <c r="H116" s="2">
        <f>Calculate[[#This Row],[Tx_PSD_us]]+Calculate[[#This Row],[IL]]</f>
        <v>-123.16444503427644</v>
      </c>
      <c r="I116" s="2">
        <f>Calculate[[#This Row],[Tx_PSD_ds]]+Calculate[[#This Row],[IL]]</f>
        <v>-123.16444503427644</v>
      </c>
      <c r="J116" s="2">
        <f>Masks[[#This Row],[channel_echo]]</f>
        <v>-10.41132665881565</v>
      </c>
      <c r="K116" s="2">
        <f>Masks[[#This Row],[channel_echo]]</f>
        <v>-10.41132665881565</v>
      </c>
      <c r="L116" s="2">
        <f>Calculate[[#This Row],[Echo_transfer_us]]+Calculate[[#This Row],[Tx_PSD_ds]]</f>
        <v>-109.80089490685536</v>
      </c>
      <c r="M116" s="2">
        <f>Calculate[[#This Row],[Echo_transfer_ds]]+Calculate[[#This Row],[Tx_PSD_us]]</f>
        <v>-109.80089490685536</v>
      </c>
      <c r="N116" s="2">
        <f t="shared" si="15"/>
        <v>-140</v>
      </c>
      <c r="O116" s="2">
        <f t="shared" si="16"/>
        <v>-140</v>
      </c>
      <c r="P116" s="2">
        <f t="shared" si="17"/>
        <v>6</v>
      </c>
      <c r="Q116" s="2">
        <f t="shared" si="18"/>
        <v>6</v>
      </c>
      <c r="R116" s="2">
        <f>10*LOG10((10^(Calculate[[#This Row],[Rx_echo_us]]/10))-(10^((Masks[[#This Row],[connector_echo]]+Calculate[[#This Row],[Tx_PSD_ds]])/10))*EC_conector_ratio_us)-Calculate[[#This Row],[EC_cancelation_us]]</f>
        <v>-147.03038199471806</v>
      </c>
      <c r="S116" s="2">
        <f>10*LOG10((10^(Calculate[[#This Row],[Rx_echo_ds]]/10))-(10^((Masks[[#This Row],[connector_echo]]+Calculate[[#This Row],[Tx_PSD_us]])/10))*EC_conector_ratio_ds)-Calculate[[#This Row],[EC_cancelation_ds]]</f>
        <v>-147.03038199471806</v>
      </c>
      <c r="T116" s="1">
        <f>(POWER(10,Calculate[[#This Row],[AFE_noise_us]]/10)+POWER(10,Calculate[[#This Row],[Echo_res_us]]/10))</f>
        <v>1.1981352743238524E-14</v>
      </c>
      <c r="U116" s="1">
        <f>(POWER(10,Calculate[[#This Row],[AFE_noise_ds]]/10)+POWER(10,Calculate[[#This Row],[Echo_res_ds]]/10))</f>
        <v>1.1981352743238524E-14</v>
      </c>
      <c r="V116" s="2">
        <f>10*LOG10(Calculate[[#This Row],[Linear_Noise_us]])</f>
        <v>-139.21494145572939</v>
      </c>
      <c r="W116" s="2">
        <f>10*LOG10(Calculate[[#This Row],[Linear_Noise_ds]])</f>
        <v>-139.21494145572939</v>
      </c>
      <c r="X116" s="2">
        <f>Calculate[[#This Row],[Rx_PSD_us]]-Calculate[[#This Row],[Noise_us]]</f>
        <v>16.050496421452948</v>
      </c>
      <c r="Y116" s="2">
        <f>Calculate[[#This Row],[Rx_PSD_ds]]-Calculate[[#This Row],[Noise_ds]]</f>
        <v>16.050496421452948</v>
      </c>
      <c r="Z116" s="2">
        <f>POWER(10,Calculate[[#This Row],[SNRdB_us]]/10)</f>
        <v>40.276306963326938</v>
      </c>
      <c r="AA116" s="2">
        <f>POWER(10,Calculate[[#This Row],[SNRdB_ds]]/10)</f>
        <v>40.276306963326938</v>
      </c>
      <c r="AB116" s="2">
        <f>-(0.002*Calculate[[#This Row],[Freq]]/1000000/2.5+0.68*(Calculate[[#This Row],[Freq]]/1000000/2.5)^0.45)</f>
        <v>-25.260080449753744</v>
      </c>
      <c r="AC116" s="2"/>
    </row>
    <row r="117" spans="1:29" x14ac:dyDescent="0.25">
      <c r="A117" s="33">
        <f t="shared" si="19"/>
        <v>5220000000</v>
      </c>
      <c r="B117" s="1">
        <f>Calculate[[#This Row],[Freq]]-A116</f>
        <v>45000000</v>
      </c>
      <c r="C117" s="1">
        <f>Channels!B117*cable_length</f>
        <v>-22.127644987404953</v>
      </c>
      <c r="D117" s="1">
        <f>Channels!C117*PCB_trace_length</f>
        <v>-1.779865048629991</v>
      </c>
      <c r="E117" s="1">
        <f>Calculate[[#This Row],[IL_Cable]]+Calculate[[#This Row],[IL_PCB]]</f>
        <v>-23.907510036034942</v>
      </c>
      <c r="F117" s="2">
        <f>Masks!A117</f>
        <v>-99.426853721326381</v>
      </c>
      <c r="G117" s="2">
        <f>Masks!B117</f>
        <v>-99.426853721326381</v>
      </c>
      <c r="H117" s="2">
        <f>Calculate[[#This Row],[Tx_PSD_us]]+Calculate[[#This Row],[IL]]</f>
        <v>-123.33436375736133</v>
      </c>
      <c r="I117" s="2">
        <f>Calculate[[#This Row],[Tx_PSD_ds]]+Calculate[[#This Row],[IL]]</f>
        <v>-123.33436375736133</v>
      </c>
      <c r="J117" s="2">
        <f>Masks[[#This Row],[channel_echo]]</f>
        <v>-10.37495537932568</v>
      </c>
      <c r="K117" s="2">
        <f>Masks[[#This Row],[channel_echo]]</f>
        <v>-10.37495537932568</v>
      </c>
      <c r="L117" s="2">
        <f>Calculate[[#This Row],[Echo_transfer_us]]+Calculate[[#This Row],[Tx_PSD_ds]]</f>
        <v>-109.80180910065206</v>
      </c>
      <c r="M117" s="2">
        <f>Calculate[[#This Row],[Echo_transfer_ds]]+Calculate[[#This Row],[Tx_PSD_us]]</f>
        <v>-109.80180910065206</v>
      </c>
      <c r="N117" s="2">
        <f t="shared" si="15"/>
        <v>-140</v>
      </c>
      <c r="O117" s="2">
        <f t="shared" si="16"/>
        <v>-140</v>
      </c>
      <c r="P117" s="2">
        <f t="shared" si="17"/>
        <v>6</v>
      </c>
      <c r="Q117" s="2">
        <f t="shared" si="18"/>
        <v>6</v>
      </c>
      <c r="R117" s="2">
        <f>10*LOG10((10^(Calculate[[#This Row],[Rx_echo_us]]/10))-(10^((Masks[[#This Row],[connector_echo]]+Calculate[[#This Row],[Tx_PSD_ds]])/10))*EC_conector_ratio_us)-Calculate[[#This Row],[EC_cancelation_us]]</f>
        <v>-147.06766746797064</v>
      </c>
      <c r="S117" s="2">
        <f>10*LOG10((10^(Calculate[[#This Row],[Rx_echo_ds]]/10))-(10^((Masks[[#This Row],[connector_echo]]+Calculate[[#This Row],[Tx_PSD_us]])/10))*EC_conector_ratio_ds)-Calculate[[#This Row],[EC_cancelation_ds]]</f>
        <v>-147.06766746797064</v>
      </c>
      <c r="T117" s="1">
        <f>(POWER(10,Calculate[[#This Row],[AFE_noise_us]]/10)+POWER(10,Calculate[[#This Row],[Echo_res_us]]/10))</f>
        <v>1.1964415052100335E-14</v>
      </c>
      <c r="U117" s="1">
        <f>(POWER(10,Calculate[[#This Row],[AFE_noise_ds]]/10)+POWER(10,Calculate[[#This Row],[Echo_res_ds]]/10))</f>
        <v>1.1964415052100335E-14</v>
      </c>
      <c r="V117" s="2">
        <f>10*LOG10(Calculate[[#This Row],[Linear_Noise_us]])</f>
        <v>-139.2210852946634</v>
      </c>
      <c r="W117" s="2">
        <f>10*LOG10(Calculate[[#This Row],[Linear_Noise_ds]])</f>
        <v>-139.2210852946634</v>
      </c>
      <c r="X117" s="2">
        <f>Calculate[[#This Row],[Rx_PSD_us]]-Calculate[[#This Row],[Noise_us]]</f>
        <v>15.886721537302066</v>
      </c>
      <c r="Y117" s="2">
        <f>Calculate[[#This Row],[Rx_PSD_ds]]-Calculate[[#This Row],[Noise_ds]]</f>
        <v>15.886721537302066</v>
      </c>
      <c r="Z117" s="2">
        <f>POWER(10,Calculate[[#This Row],[SNRdB_us]]/10)</f>
        <v>38.785746420283061</v>
      </c>
      <c r="AA117" s="2">
        <f>POWER(10,Calculate[[#This Row],[SNRdB_ds]]/10)</f>
        <v>38.785746420283061</v>
      </c>
      <c r="AB117" s="2">
        <f>-(0.002*Calculate[[#This Row],[Freq]]/1000000/2.5+0.68*(Calculate[[#This Row],[Freq]]/1000000/2.5)^0.45)</f>
        <v>-25.378527499351527</v>
      </c>
      <c r="AC117" s="2"/>
    </row>
    <row r="118" spans="1:29" x14ac:dyDescent="0.25">
      <c r="A118" s="33">
        <f t="shared" si="19"/>
        <v>5265000000</v>
      </c>
      <c r="B118" s="1">
        <f>Calculate[[#This Row],[Freq]]-A117</f>
        <v>45000000</v>
      </c>
      <c r="C118" s="1">
        <f>Channels!B118*cable_length</f>
        <v>-22.24568307950905</v>
      </c>
      <c r="D118" s="1">
        <f>Channels!C118*PCB_trace_length</f>
        <v>-1.7941428483606094</v>
      </c>
      <c r="E118" s="1">
        <f>Calculate[[#This Row],[IL_Cable]]+Calculate[[#This Row],[IL_PCB]]</f>
        <v>-24.039825927869661</v>
      </c>
      <c r="F118" s="2">
        <f>Masks!A118</f>
        <v>-99.464532540633499</v>
      </c>
      <c r="G118" s="2">
        <f>Masks!B118</f>
        <v>-99.464532540633499</v>
      </c>
      <c r="H118" s="2">
        <f>Calculate[[#This Row],[Tx_PSD_us]]+Calculate[[#This Row],[IL]]</f>
        <v>-123.50435846850316</v>
      </c>
      <c r="I118" s="2">
        <f>Calculate[[#This Row],[Tx_PSD_ds]]+Calculate[[#This Row],[IL]]</f>
        <v>-123.50435846850316</v>
      </c>
      <c r="J118" s="2">
        <f>Masks[[#This Row],[channel_echo]]</f>
        <v>-10.338886173845889</v>
      </c>
      <c r="K118" s="2">
        <f>Masks[[#This Row],[channel_echo]]</f>
        <v>-10.338886173845889</v>
      </c>
      <c r="L118" s="2">
        <f>Calculate[[#This Row],[Echo_transfer_us]]+Calculate[[#This Row],[Tx_PSD_ds]]</f>
        <v>-109.80341871447939</v>
      </c>
      <c r="M118" s="2">
        <f>Calculate[[#This Row],[Echo_transfer_ds]]+Calculate[[#This Row],[Tx_PSD_us]]</f>
        <v>-109.80341871447939</v>
      </c>
      <c r="N118" s="2">
        <f t="shared" si="15"/>
        <v>-140</v>
      </c>
      <c r="O118" s="2">
        <f t="shared" si="16"/>
        <v>-140</v>
      </c>
      <c r="P118" s="2">
        <f t="shared" si="17"/>
        <v>6</v>
      </c>
      <c r="Q118" s="2">
        <f t="shared" si="18"/>
        <v>6</v>
      </c>
      <c r="R118" s="2">
        <f>10*LOG10((10^(Calculate[[#This Row],[Rx_echo_us]]/10))-(10^((Masks[[#This Row],[connector_echo]]+Calculate[[#This Row],[Tx_PSD_ds]])/10))*EC_conector_ratio_us)-Calculate[[#This Row],[EC_cancelation_us]]</f>
        <v>-147.10534628730665</v>
      </c>
      <c r="S118" s="2">
        <f>10*LOG10((10^(Calculate[[#This Row],[Rx_echo_ds]]/10))-(10^((Masks[[#This Row],[connector_echo]]+Calculate[[#This Row],[Tx_PSD_us]])/10))*EC_conector_ratio_ds)-Calculate[[#This Row],[EC_cancelation_ds]]</f>
        <v>-147.10534628730665</v>
      </c>
      <c r="T118" s="1">
        <f>(POWER(10,Calculate[[#This Row],[AFE_noise_us]]/10)+POWER(10,Calculate[[#This Row],[Echo_res_us]]/10))</f>
        <v>1.1947445762997076E-14</v>
      </c>
      <c r="U118" s="1">
        <f>(POWER(10,Calculate[[#This Row],[AFE_noise_ds]]/10)+POWER(10,Calculate[[#This Row],[Echo_res_ds]]/10))</f>
        <v>1.1947445762997076E-14</v>
      </c>
      <c r="V118" s="2">
        <f>10*LOG10(Calculate[[#This Row],[Linear_Noise_us]])</f>
        <v>-139.22724932339668</v>
      </c>
      <c r="W118" s="2">
        <f>10*LOG10(Calculate[[#This Row],[Linear_Noise_ds]])</f>
        <v>-139.22724932339668</v>
      </c>
      <c r="X118" s="2">
        <f>Calculate[[#This Row],[Rx_PSD_us]]-Calculate[[#This Row],[Noise_us]]</f>
        <v>15.722890854893521</v>
      </c>
      <c r="Y118" s="2">
        <f>Calculate[[#This Row],[Rx_PSD_ds]]-Calculate[[#This Row],[Noise_ds]]</f>
        <v>15.722890854893521</v>
      </c>
      <c r="Z118" s="2">
        <f>POWER(10,Calculate[[#This Row],[SNRdB_us]]/10)</f>
        <v>37.349869220929413</v>
      </c>
      <c r="AA118" s="2">
        <f>POWER(10,Calculate[[#This Row],[SNRdB_ds]]/10)</f>
        <v>37.349869220929413</v>
      </c>
      <c r="AB118" s="2">
        <f>-(0.002*Calculate[[#This Row],[Freq]]/1000000/2.5+0.68*(Calculate[[#This Row],[Freq]]/1000000/2.5)^0.45)</f>
        <v>-25.496584555339606</v>
      </c>
      <c r="AC118" s="2"/>
    </row>
    <row r="119" spans="1:29" x14ac:dyDescent="0.25">
      <c r="A119" s="33">
        <f t="shared" si="19"/>
        <v>5310000000</v>
      </c>
      <c r="B119" s="1">
        <f>Calculate[[#This Row],[Freq]]-A118</f>
        <v>45000000</v>
      </c>
      <c r="C119" s="1">
        <f>Channels!B119*cable_length</f>
        <v>-22.363412399619431</v>
      </c>
      <c r="D119" s="1">
        <f>Channels!C119*PCB_trace_length</f>
        <v>-1.8084161222309432</v>
      </c>
      <c r="E119" s="1">
        <f>Calculate[[#This Row],[IL_Cable]]+Calculate[[#This Row],[IL_PCB]]</f>
        <v>-24.171828521850376</v>
      </c>
      <c r="F119" s="2">
        <f>Masks!A119</f>
        <v>-99.502606908971174</v>
      </c>
      <c r="G119" s="2">
        <f>Masks!B119</f>
        <v>-99.502606908971174</v>
      </c>
      <c r="H119" s="2">
        <f>Calculate[[#This Row],[Tx_PSD_us]]+Calculate[[#This Row],[IL]]</f>
        <v>-123.67443543082155</v>
      </c>
      <c r="I119" s="2">
        <f>Calculate[[#This Row],[Tx_PSD_ds]]+Calculate[[#This Row],[IL]]</f>
        <v>-123.67443543082155</v>
      </c>
      <c r="J119" s="2">
        <f>Masks[[#This Row],[channel_echo]]</f>
        <v>-10.303114066053427</v>
      </c>
      <c r="K119" s="2">
        <f>Masks[[#This Row],[channel_echo]]</f>
        <v>-10.303114066053427</v>
      </c>
      <c r="L119" s="2">
        <f>Calculate[[#This Row],[Echo_transfer_us]]+Calculate[[#This Row],[Tx_PSD_ds]]</f>
        <v>-109.8057209750246</v>
      </c>
      <c r="M119" s="2">
        <f>Calculate[[#This Row],[Echo_transfer_ds]]+Calculate[[#This Row],[Tx_PSD_us]]</f>
        <v>-109.8057209750246</v>
      </c>
      <c r="N119" s="2">
        <f t="shared" si="15"/>
        <v>-140</v>
      </c>
      <c r="O119" s="2">
        <f t="shared" si="16"/>
        <v>-140</v>
      </c>
      <c r="P119" s="2">
        <f t="shared" si="17"/>
        <v>6</v>
      </c>
      <c r="Q119" s="2">
        <f t="shared" si="18"/>
        <v>6</v>
      </c>
      <c r="R119" s="2">
        <f>10*LOG10((10^(Calculate[[#This Row],[Rx_echo_us]]/10))-(10^((Masks[[#This Row],[connector_echo]]+Calculate[[#This Row],[Tx_PSD_ds]])/10))*EC_conector_ratio_us)-Calculate[[#This Row],[EC_cancelation_us]]</f>
        <v>-147.14342065561206</v>
      </c>
      <c r="S119" s="2">
        <f>10*LOG10((10^(Calculate[[#This Row],[Rx_echo_ds]]/10))-(10^((Masks[[#This Row],[connector_echo]]+Calculate[[#This Row],[Tx_PSD_us]])/10))*EC_conector_ratio_ds)-Calculate[[#This Row],[EC_cancelation_ds]]</f>
        <v>-147.14342065561206</v>
      </c>
      <c r="T119" s="1">
        <f>(POWER(10,Calculate[[#This Row],[AFE_noise_us]]/10)+POWER(10,Calculate[[#This Row],[Echo_res_us]]/10))</f>
        <v>1.1930447230140956E-14</v>
      </c>
      <c r="U119" s="1">
        <f>(POWER(10,Calculate[[#This Row],[AFE_noise_ds]]/10)+POWER(10,Calculate[[#This Row],[Echo_res_ds]]/10))</f>
        <v>1.1930447230140956E-14</v>
      </c>
      <c r="V119" s="2">
        <f>10*LOG10(Calculate[[#This Row],[Linear_Noise_us]])</f>
        <v>-139.2334327586513</v>
      </c>
      <c r="W119" s="2">
        <f>10*LOG10(Calculate[[#This Row],[Linear_Noise_ds]])</f>
        <v>-139.2334327586513</v>
      </c>
      <c r="X119" s="2">
        <f>Calculate[[#This Row],[Rx_PSD_us]]-Calculate[[#This Row],[Noise_us]]</f>
        <v>15.558997327829758</v>
      </c>
      <c r="Y119" s="2">
        <f>Calculate[[#This Row],[Rx_PSD_ds]]-Calculate[[#This Row],[Noise_ds]]</f>
        <v>15.558997327829758</v>
      </c>
      <c r="Z119" s="2">
        <f>POWER(10,Calculate[[#This Row],[SNRdB_us]]/10)</f>
        <v>35.966628804703198</v>
      </c>
      <c r="AA119" s="2">
        <f>POWER(10,Calculate[[#This Row],[SNRdB_ds]]/10)</f>
        <v>35.966628804703198</v>
      </c>
      <c r="AB119" s="2">
        <f>-(0.002*Calculate[[#This Row],[Freq]]/1000000/2.5+0.68*(Calculate[[#This Row],[Freq]]/1000000/2.5)^0.45)</f>
        <v>-25.614256772301047</v>
      </c>
      <c r="AC119" s="2"/>
    </row>
    <row r="120" spans="1:29" x14ac:dyDescent="0.25">
      <c r="A120" s="33">
        <f t="shared" si="19"/>
        <v>5355000000</v>
      </c>
      <c r="B120" s="1">
        <f>Calculate[[#This Row],[Freq]]-A119</f>
        <v>45000000</v>
      </c>
      <c r="C120" s="1">
        <f>Channels!B120*cable_length</f>
        <v>-22.480836864593659</v>
      </c>
      <c r="D120" s="1">
        <f>Channels!C120*PCB_trace_length</f>
        <v>-1.822684927652773</v>
      </c>
      <c r="E120" s="1">
        <f>Calculate[[#This Row],[IL_Cable]]+Calculate[[#This Row],[IL_PCB]]</f>
        <v>-24.303521792246432</v>
      </c>
      <c r="F120" s="2">
        <f>Masks!A120</f>
        <v>-99.541079067759156</v>
      </c>
      <c r="G120" s="2">
        <f>Masks!B120</f>
        <v>-99.541079067759156</v>
      </c>
      <c r="H120" s="2">
        <f>Calculate[[#This Row],[Tx_PSD_us]]+Calculate[[#This Row],[IL]]</f>
        <v>-123.84460086000558</v>
      </c>
      <c r="I120" s="2">
        <f>Calculate[[#This Row],[Tx_PSD_ds]]+Calculate[[#This Row],[IL]]</f>
        <v>-123.84460086000558</v>
      </c>
      <c r="J120" s="2">
        <f>Masks[[#This Row],[channel_echo]]</f>
        <v>-10.267634201590329</v>
      </c>
      <c r="K120" s="2">
        <f>Masks[[#This Row],[channel_echo]]</f>
        <v>-10.267634201590329</v>
      </c>
      <c r="L120" s="2">
        <f>Calculate[[#This Row],[Echo_transfer_us]]+Calculate[[#This Row],[Tx_PSD_ds]]</f>
        <v>-109.80871326934948</v>
      </c>
      <c r="M120" s="2">
        <f>Calculate[[#This Row],[Echo_transfer_ds]]+Calculate[[#This Row],[Tx_PSD_us]]</f>
        <v>-109.80871326934948</v>
      </c>
      <c r="N120" s="2">
        <f t="shared" si="15"/>
        <v>-140</v>
      </c>
      <c r="O120" s="2">
        <f t="shared" si="16"/>
        <v>-140</v>
      </c>
      <c r="P120" s="2">
        <f t="shared" si="17"/>
        <v>6</v>
      </c>
      <c r="Q120" s="2">
        <f t="shared" si="18"/>
        <v>6</v>
      </c>
      <c r="R120" s="2">
        <f>10*LOG10((10^(Calculate[[#This Row],[Rx_echo_us]]/10))-(10^((Masks[[#This Row],[connector_echo]]+Calculate[[#This Row],[Tx_PSD_ds]])/10))*EC_conector_ratio_us)-Calculate[[#This Row],[EC_cancelation_us]]</f>
        <v>-147.18189281442736</v>
      </c>
      <c r="S120" s="2">
        <f>10*LOG10((10^(Calculate[[#This Row],[Rx_echo_ds]]/10))-(10^((Masks[[#This Row],[connector_echo]]+Calculate[[#This Row],[Tx_PSD_us]])/10))*EC_conector_ratio_ds)-Calculate[[#This Row],[EC_cancelation_ds]]</f>
        <v>-147.18189281442736</v>
      </c>
      <c r="T120" s="1">
        <f>(POWER(10,Calculate[[#This Row],[AFE_noise_us]]/10)+POWER(10,Calculate[[#This Row],[Echo_res_us]]/10))</f>
        <v>1.1913421803956239E-14</v>
      </c>
      <c r="U120" s="1">
        <f>(POWER(10,Calculate[[#This Row],[AFE_noise_ds]]/10)+POWER(10,Calculate[[#This Row],[Echo_res_ds]]/10))</f>
        <v>1.1913421803956239E-14</v>
      </c>
      <c r="V120" s="2">
        <f>10*LOG10(Calculate[[#This Row],[Linear_Noise_us]])</f>
        <v>-139.23963481410641</v>
      </c>
      <c r="W120" s="2">
        <f>10*LOG10(Calculate[[#This Row],[Linear_Noise_ds]])</f>
        <v>-139.23963481410641</v>
      </c>
      <c r="X120" s="2">
        <f>Calculate[[#This Row],[Rx_PSD_us]]-Calculate[[#This Row],[Noise_us]]</f>
        <v>15.395033954100825</v>
      </c>
      <c r="Y120" s="2">
        <f>Calculate[[#This Row],[Rx_PSD_ds]]-Calculate[[#This Row],[Noise_ds]]</f>
        <v>15.395033954100825</v>
      </c>
      <c r="Z120" s="2">
        <f>POWER(10,Calculate[[#This Row],[SNRdB_us]]/10)</f>
        <v>34.634059236486259</v>
      </c>
      <c r="AA120" s="2">
        <f>POWER(10,Calculate[[#This Row],[SNRdB_ds]]/10)</f>
        <v>34.634059236486259</v>
      </c>
      <c r="AB120" s="2">
        <f>-(0.002*Calculate[[#This Row],[Freq]]/1000000/2.5+0.68*(Calculate[[#This Row],[Freq]]/1000000/2.5)^0.45)</f>
        <v>-25.73154919368303</v>
      </c>
      <c r="AC120" s="2"/>
    </row>
    <row r="121" spans="1:29" x14ac:dyDescent="0.25">
      <c r="A121" s="33">
        <f t="shared" si="19"/>
        <v>5400000000</v>
      </c>
      <c r="B121" s="1">
        <f>Calculate[[#This Row],[Freq]]-A120</f>
        <v>45000000</v>
      </c>
      <c r="C121" s="1">
        <f>Channels!B121*cable_length</f>
        <v>-22.597960309172343</v>
      </c>
      <c r="D121" s="1">
        <f>Channels!C121*PCB_trace_length</f>
        <v>-1.8369493208342409</v>
      </c>
      <c r="E121" s="1">
        <f>Calculate[[#This Row],[IL_Cable]]+Calculate[[#This Row],[IL_PCB]]</f>
        <v>-24.434909630006583</v>
      </c>
      <c r="F121" s="2">
        <f>Masks!A121</f>
        <v>-99.579951297557898</v>
      </c>
      <c r="G121" s="2">
        <f>Masks!B121</f>
        <v>-99.579951297557898</v>
      </c>
      <c r="H121" s="2">
        <f>Calculate[[#This Row],[Tx_PSD_us]]+Calculate[[#This Row],[IL]]</f>
        <v>-124.01486092756448</v>
      </c>
      <c r="I121" s="2">
        <f>Calculate[[#This Row],[Tx_PSD_ds]]+Calculate[[#This Row],[IL]]</f>
        <v>-124.01486092756448</v>
      </c>
      <c r="J121" s="2">
        <f>Masks[[#This Row],[channel_echo]]</f>
        <v>-10.232441844110129</v>
      </c>
      <c r="K121" s="2">
        <f>Masks[[#This Row],[channel_echo]]</f>
        <v>-10.232441844110129</v>
      </c>
      <c r="L121" s="2">
        <f>Calculate[[#This Row],[Echo_transfer_us]]+Calculate[[#This Row],[Tx_PSD_ds]]</f>
        <v>-109.81239314166803</v>
      </c>
      <c r="M121" s="2">
        <f>Calculate[[#This Row],[Echo_transfer_ds]]+Calculate[[#This Row],[Tx_PSD_us]]</f>
        <v>-109.81239314166803</v>
      </c>
      <c r="N121" s="2">
        <f t="shared" si="15"/>
        <v>-140</v>
      </c>
      <c r="O121" s="2">
        <f t="shared" si="16"/>
        <v>-140</v>
      </c>
      <c r="P121" s="2">
        <f t="shared" si="17"/>
        <v>6</v>
      </c>
      <c r="Q121" s="2">
        <f t="shared" si="18"/>
        <v>6</v>
      </c>
      <c r="R121" s="2">
        <f>10*LOG10((10^(Calculate[[#This Row],[Rx_echo_us]]/10))-(10^((Masks[[#This Row],[connector_echo]]+Calculate[[#This Row],[Tx_PSD_ds]])/10))*EC_conector_ratio_us)-Calculate[[#This Row],[EC_cancelation_us]]</f>
        <v>-147.22076504423401</v>
      </c>
      <c r="S121" s="2">
        <f>10*LOG10((10^(Calculate[[#This Row],[Rx_echo_ds]]/10))-(10^((Masks[[#This Row],[connector_echo]]+Calculate[[#This Row],[Tx_PSD_us]])/10))*EC_conector_ratio_ds)-Calculate[[#This Row],[EC_cancelation_ds]]</f>
        <v>-147.22076504423401</v>
      </c>
      <c r="T121" s="1">
        <f>(POWER(10,Calculate[[#This Row],[AFE_noise_us]]/10)+POWER(10,Calculate[[#This Row],[Echo_res_us]]/10))</f>
        <v>1.1896371830821237E-14</v>
      </c>
      <c r="U121" s="1">
        <f>(POWER(10,Calculate[[#This Row],[AFE_noise_ds]]/10)+POWER(10,Calculate[[#This Row],[Echo_res_ds]]/10))</f>
        <v>1.1896371830821237E-14</v>
      </c>
      <c r="V121" s="2">
        <f>10*LOG10(Calculate[[#This Row],[Linear_Noise_us]])</f>
        <v>-139.24585470045099</v>
      </c>
      <c r="W121" s="2">
        <f>10*LOG10(Calculate[[#This Row],[Linear_Noise_ds]])</f>
        <v>-139.24585470045099</v>
      </c>
      <c r="X121" s="2">
        <f>Calculate[[#This Row],[Rx_PSD_us]]-Calculate[[#This Row],[Noise_us]]</f>
        <v>15.230993772886507</v>
      </c>
      <c r="Y121" s="2">
        <f>Calculate[[#This Row],[Rx_PSD_ds]]-Calculate[[#This Row],[Noise_ds]]</f>
        <v>15.230993772886507</v>
      </c>
      <c r="Z121" s="2">
        <f>POWER(10,Calculate[[#This Row],[SNRdB_us]]/10)</f>
        <v>33.350271767980459</v>
      </c>
      <c r="AA121" s="2">
        <f>POWER(10,Calculate[[#This Row],[SNRdB_ds]]/10)</f>
        <v>33.350271767980459</v>
      </c>
      <c r="AB121" s="2">
        <f>-(0.002*Calculate[[#This Row],[Freq]]/1000000/2.5+0.68*(Calculate[[#This Row],[Freq]]/1000000/2.5)^0.45)</f>
        <v>-25.848466755104795</v>
      </c>
      <c r="AC121" s="2"/>
    </row>
    <row r="122" spans="1:29" x14ac:dyDescent="0.25">
      <c r="A122" s="33">
        <f t="shared" si="19"/>
        <v>5445000000</v>
      </c>
      <c r="B122" s="1">
        <f>Calculate[[#This Row],[Freq]]-A121</f>
        <v>45000000</v>
      </c>
      <c r="C122" s="1">
        <f>Channels!B122*cable_length</f>
        <v>-22.714786488369324</v>
      </c>
      <c r="D122" s="1">
        <f>Channels!C122*PCB_trace_length</f>
        <v>-1.8512093568148855</v>
      </c>
      <c r="E122" s="1">
        <f>Calculate[[#This Row],[IL_Cable]]+Calculate[[#This Row],[IL_PCB]]</f>
        <v>-24.565995845184208</v>
      </c>
      <c r="F122" s="2">
        <f>Masks!A122</f>
        <v>-99.619225918819026</v>
      </c>
      <c r="G122" s="2">
        <f>Masks!B122</f>
        <v>-99.619225918819026</v>
      </c>
      <c r="H122" s="2">
        <f>Calculate[[#This Row],[Tx_PSD_us]]+Calculate[[#This Row],[IL]]</f>
        <v>-124.18522176400323</v>
      </c>
      <c r="I122" s="2">
        <f>Calculate[[#This Row],[Tx_PSD_ds]]+Calculate[[#This Row],[IL]]</f>
        <v>-124.18522176400323</v>
      </c>
      <c r="J122" s="2">
        <f>Masks[[#This Row],[channel_echo]]</f>
        <v>-10.197532371483394</v>
      </c>
      <c r="K122" s="2">
        <f>Masks[[#This Row],[channel_echo]]</f>
        <v>-10.197532371483394</v>
      </c>
      <c r="L122" s="2">
        <f>Calculate[[#This Row],[Echo_transfer_us]]+Calculate[[#This Row],[Tx_PSD_ds]]</f>
        <v>-109.81675829030242</v>
      </c>
      <c r="M122" s="2">
        <f>Calculate[[#This Row],[Echo_transfer_ds]]+Calculate[[#This Row],[Tx_PSD_us]]</f>
        <v>-109.81675829030242</v>
      </c>
      <c r="N122" s="2">
        <f t="shared" si="15"/>
        <v>-140</v>
      </c>
      <c r="O122" s="2">
        <f t="shared" si="16"/>
        <v>-140</v>
      </c>
      <c r="P122" s="2">
        <f t="shared" si="17"/>
        <v>6</v>
      </c>
      <c r="Q122" s="2">
        <f t="shared" si="18"/>
        <v>6</v>
      </c>
      <c r="R122" s="2">
        <f>10*LOG10((10^(Calculate[[#This Row],[Rx_echo_us]]/10))-(10^((Masks[[#This Row],[connector_echo]]+Calculate[[#This Row],[Tx_PSD_ds]])/10))*EC_conector_ratio_us)-Calculate[[#This Row],[EC_cancelation_us]]</f>
        <v>-147.26003966545784</v>
      </c>
      <c r="S122" s="2">
        <f>10*LOG10((10^(Calculate[[#This Row],[Rx_echo_ds]]/10))-(10^((Masks[[#This Row],[connector_echo]]+Calculate[[#This Row],[Tx_PSD_us]])/10))*EC_conector_ratio_ds)-Calculate[[#This Row],[EC_cancelation_ds]]</f>
        <v>-147.26003966545784</v>
      </c>
      <c r="T122" s="1">
        <f>(POWER(10,Calculate[[#This Row],[AFE_noise_us]]/10)+POWER(10,Calculate[[#This Row],[Echo_res_us]]/10))</f>
        <v>1.1879299652500084E-14</v>
      </c>
      <c r="U122" s="1">
        <f>(POWER(10,Calculate[[#This Row],[AFE_noise_ds]]/10)+POWER(10,Calculate[[#This Row],[Echo_res_ds]]/10))</f>
        <v>1.1879299652500084E-14</v>
      </c>
      <c r="V122" s="2">
        <f>10*LOG10(Calculate[[#This Row],[Linear_Noise_us]])</f>
        <v>-139.25209162555186</v>
      </c>
      <c r="W122" s="2">
        <f>10*LOG10(Calculate[[#This Row],[Linear_Noise_ds]])</f>
        <v>-139.25209162555186</v>
      </c>
      <c r="X122" s="2">
        <f>Calculate[[#This Row],[Rx_PSD_us]]-Calculate[[#This Row],[Noise_us]]</f>
        <v>15.066869861548625</v>
      </c>
      <c r="Y122" s="2">
        <f>Calculate[[#This Row],[Rx_PSD_ds]]-Calculate[[#This Row],[Noise_ds]]</f>
        <v>15.066869861548625</v>
      </c>
      <c r="Z122" s="2">
        <f>POWER(10,Calculate[[#This Row],[SNRdB_us]]/10)</f>
        <v>32.113451561817449</v>
      </c>
      <c r="AA122" s="2">
        <f>POWER(10,Calculate[[#This Row],[SNRdB_ds]]/10)</f>
        <v>32.113451561817449</v>
      </c>
      <c r="AB122" s="2">
        <f>-(0.002*Calculate[[#This Row],[Freq]]/1000000/2.5+0.68*(Calculate[[#This Row],[Freq]]/1000000/2.5)^0.45)</f>
        <v>-25.965014287540313</v>
      </c>
      <c r="AC122" s="2"/>
    </row>
    <row r="123" spans="1:29" x14ac:dyDescent="0.25">
      <c r="A123" s="33">
        <f t="shared" si="19"/>
        <v>5490000000</v>
      </c>
      <c r="B123" s="1">
        <f>Calculate[[#This Row],[Freq]]-A122</f>
        <v>45000000</v>
      </c>
      <c r="C123" s="1">
        <f>Channels!B123*cable_length</f>
        <v>-22.831319079773127</v>
      </c>
      <c r="D123" s="1">
        <f>Channels!C123*PCB_trace_length</f>
        <v>-1.8654650894993761</v>
      </c>
      <c r="E123" s="1">
        <f>Calculate[[#This Row],[IL_Cable]]+Calculate[[#This Row],[IL_PCB]]</f>
        <v>-24.696784169272505</v>
      </c>
      <c r="F123" s="2">
        <f>Masks!A123</f>
        <v>-99.658905292656129</v>
      </c>
      <c r="G123" s="2">
        <f>Masks!B123</f>
        <v>-99.658905292656129</v>
      </c>
      <c r="H123" s="2">
        <f>Calculate[[#This Row],[Tx_PSD_us]]+Calculate[[#This Row],[IL]]</f>
        <v>-124.35568946192863</v>
      </c>
      <c r="I123" s="2">
        <f>Calculate[[#This Row],[Tx_PSD_ds]]+Calculate[[#This Row],[IL]]</f>
        <v>-124.35568946192863</v>
      </c>
      <c r="J123" s="2">
        <f>Masks[[#This Row],[channel_echo]]</f>
        <v>-10.162901272154503</v>
      </c>
      <c r="K123" s="2">
        <f>Masks[[#This Row],[channel_echo]]</f>
        <v>-10.162901272154503</v>
      </c>
      <c r="L123" s="2">
        <f>Calculate[[#This Row],[Echo_transfer_us]]+Calculate[[#This Row],[Tx_PSD_ds]]</f>
        <v>-109.82180656481063</v>
      </c>
      <c r="M123" s="2">
        <f>Calculate[[#This Row],[Echo_transfer_ds]]+Calculate[[#This Row],[Tx_PSD_us]]</f>
        <v>-109.82180656481063</v>
      </c>
      <c r="N123" s="2">
        <f t="shared" si="15"/>
        <v>-140</v>
      </c>
      <c r="O123" s="2">
        <f t="shared" si="16"/>
        <v>-140</v>
      </c>
      <c r="P123" s="2">
        <f t="shared" si="17"/>
        <v>6</v>
      </c>
      <c r="Q123" s="2">
        <f t="shared" si="18"/>
        <v>6</v>
      </c>
      <c r="R123" s="2">
        <f>10*LOG10((10^(Calculate[[#This Row],[Rx_echo_us]]/10))-(10^((Masks[[#This Row],[connector_echo]]+Calculate[[#This Row],[Tx_PSD_ds]])/10))*EC_conector_ratio_us)-Calculate[[#This Row],[EC_cancelation_us]]</f>
        <v>-147.29971903930814</v>
      </c>
      <c r="S123" s="2">
        <f>10*LOG10((10^(Calculate[[#This Row],[Rx_echo_ds]]/10))-(10^((Masks[[#This Row],[connector_echo]]+Calculate[[#This Row],[Tx_PSD_us]])/10))*EC_conector_ratio_ds)-Calculate[[#This Row],[EC_cancelation_ds]]</f>
        <v>-147.29971903930814</v>
      </c>
      <c r="T123" s="1">
        <f>(POWER(10,Calculate[[#This Row],[AFE_noise_us]]/10)+POWER(10,Calculate[[#This Row],[Echo_res_us]]/10))</f>
        <v>1.1862207605661514E-14</v>
      </c>
      <c r="U123" s="1">
        <f>(POWER(10,Calculate[[#This Row],[AFE_noise_ds]]/10)+POWER(10,Calculate[[#This Row],[Echo_res_ds]]/10))</f>
        <v>1.1862207605661514E-14</v>
      </c>
      <c r="V123" s="2">
        <f>10*LOG10(Calculate[[#This Row],[Linear_Noise_us]])</f>
        <v>-139.258344794593</v>
      </c>
      <c r="W123" s="2">
        <f>10*LOG10(Calculate[[#This Row],[Linear_Noise_ds]])</f>
        <v>-139.258344794593</v>
      </c>
      <c r="X123" s="2">
        <f>Calculate[[#This Row],[Rx_PSD_us]]-Calculate[[#This Row],[Noise_us]]</f>
        <v>14.902655332664366</v>
      </c>
      <c r="Y123" s="2">
        <f>Calculate[[#This Row],[Rx_PSD_ds]]-Calculate[[#This Row],[Noise_ds]]</f>
        <v>14.902655332664366</v>
      </c>
      <c r="Z123" s="2">
        <f>POWER(10,Calculate[[#This Row],[SNRdB_us]]/10)</f>
        <v>30.921854568663125</v>
      </c>
      <c r="AA123" s="2">
        <f>POWER(10,Calculate[[#This Row],[SNRdB_ds]]/10)</f>
        <v>30.921854568663125</v>
      </c>
      <c r="AB123" s="2">
        <f>-(0.002*Calculate[[#This Row],[Freq]]/1000000/2.5+0.68*(Calculate[[#This Row],[Freq]]/1000000/2.5)^0.45)</f>
        <v>-26.081196520381649</v>
      </c>
      <c r="AC123" s="2"/>
    </row>
    <row r="124" spans="1:29" x14ac:dyDescent="0.25">
      <c r="A124" s="33">
        <f t="shared" si="19"/>
        <v>5535000000</v>
      </c>
      <c r="B124" s="1">
        <f>Calculate[[#This Row],[Freq]]-A123</f>
        <v>45000000</v>
      </c>
      <c r="C124" s="1">
        <f>Channels!B124*cable_length</f>
        <v>-22.94756168576377</v>
      </c>
      <c r="D124" s="1">
        <f>Channels!C124*PCB_trace_length</f>
        <v>-1.8797165716900019</v>
      </c>
      <c r="E124" s="1">
        <f>Calculate[[#This Row],[IL_Cable]]+Calculate[[#This Row],[IL_PCB]]</f>
        <v>-24.82727825745377</v>
      </c>
      <c r="F124" s="2">
        <f>Masks!A124</f>
        <v>-99.698991821636014</v>
      </c>
      <c r="G124" s="2">
        <f>Masks!B124</f>
        <v>-99.698991821636014</v>
      </c>
      <c r="H124" s="2">
        <f>Calculate[[#This Row],[Tx_PSD_us]]+Calculate[[#This Row],[IL]]</f>
        <v>-124.52627007908978</v>
      </c>
      <c r="I124" s="2">
        <f>Calculate[[#This Row],[Tx_PSD_ds]]+Calculate[[#This Row],[IL]]</f>
        <v>-124.52627007908978</v>
      </c>
      <c r="J124" s="2">
        <f>Masks[[#This Row],[channel_echo]]</f>
        <v>-10.128544141642593</v>
      </c>
      <c r="K124" s="2">
        <f>Masks[[#This Row],[channel_echo]]</f>
        <v>-10.128544141642593</v>
      </c>
      <c r="L124" s="2">
        <f>Calculate[[#This Row],[Echo_transfer_us]]+Calculate[[#This Row],[Tx_PSD_ds]]</f>
        <v>-109.82753596327861</v>
      </c>
      <c r="M124" s="2">
        <f>Calculate[[#This Row],[Echo_transfer_ds]]+Calculate[[#This Row],[Tx_PSD_us]]</f>
        <v>-109.82753596327861</v>
      </c>
      <c r="N124" s="2">
        <f t="shared" si="15"/>
        <v>-140</v>
      </c>
      <c r="O124" s="2">
        <f t="shared" si="16"/>
        <v>-140</v>
      </c>
      <c r="P124" s="2">
        <f t="shared" si="17"/>
        <v>6</v>
      </c>
      <c r="Q124" s="2">
        <f t="shared" si="18"/>
        <v>6</v>
      </c>
      <c r="R124" s="2">
        <f>10*LOG10((10^(Calculate[[#This Row],[Rx_echo_us]]/10))-(10^((Masks[[#This Row],[connector_echo]]+Calculate[[#This Row],[Tx_PSD_ds]])/10))*EC_conector_ratio_us)-Calculate[[#This Row],[EC_cancelation_us]]</f>
        <v>-147.33980556829525</v>
      </c>
      <c r="S124" s="2">
        <f>10*LOG10((10^(Calculate[[#This Row],[Rx_echo_ds]]/10))-(10^((Masks[[#This Row],[connector_echo]]+Calculate[[#This Row],[Tx_PSD_us]])/10))*EC_conector_ratio_ds)-Calculate[[#This Row],[EC_cancelation_ds]]</f>
        <v>-147.33980556829525</v>
      </c>
      <c r="T124" s="1">
        <f>(POWER(10,Calculate[[#This Row],[AFE_noise_us]]/10)+POWER(10,Calculate[[#This Row],[Echo_res_us]]/10))</f>
        <v>1.1845098021546849E-14</v>
      </c>
      <c r="U124" s="1">
        <f>(POWER(10,Calculate[[#This Row],[AFE_noise_ds]]/10)+POWER(10,Calculate[[#This Row],[Echo_res_ds]]/10))</f>
        <v>1.1845098021546849E-14</v>
      </c>
      <c r="V124" s="2">
        <f>10*LOG10(Calculate[[#This Row],[Linear_Noise_us]])</f>
        <v>-139.26461341016289</v>
      </c>
      <c r="W124" s="2">
        <f>10*LOG10(Calculate[[#This Row],[Linear_Noise_ds]])</f>
        <v>-139.26461341016289</v>
      </c>
      <c r="X124" s="2">
        <f>Calculate[[#This Row],[Rx_PSD_us]]-Calculate[[#This Row],[Noise_us]]</f>
        <v>14.738343331073111</v>
      </c>
      <c r="Y124" s="2">
        <f>Calculate[[#This Row],[Rx_PSD_ds]]-Calculate[[#This Row],[Noise_ds]]</f>
        <v>14.738343331073111</v>
      </c>
      <c r="Z124" s="2">
        <f>POWER(10,Calculate[[#This Row],[SNRdB_us]]/10)</f>
        <v>29.773804549243838</v>
      </c>
      <c r="AA124" s="2">
        <f>POWER(10,Calculate[[#This Row],[SNRdB_ds]]/10)</f>
        <v>29.773804549243838</v>
      </c>
      <c r="AB124" s="2">
        <f>-(0.002*Calculate[[#This Row],[Freq]]/1000000/2.5+0.68*(Calculate[[#This Row],[Freq]]/1000000/2.5)^0.45)</f>
        <v>-26.197018084388279</v>
      </c>
      <c r="AC124" s="2"/>
    </row>
    <row r="125" spans="1:29" x14ac:dyDescent="0.25">
      <c r="A125" s="33">
        <f t="shared" si="19"/>
        <v>5580000000</v>
      </c>
      <c r="B125" s="1">
        <f>Calculate[[#This Row],[Freq]]-A124</f>
        <v>45000000</v>
      </c>
      <c r="C125" s="1">
        <f>Channels!B125*cable_length</f>
        <v>-23.063517835648533</v>
      </c>
      <c r="D125" s="1">
        <f>Channels!C125*PCB_trace_length</f>
        <v>-1.8939638551179832</v>
      </c>
      <c r="E125" s="1">
        <f>Calculate[[#This Row],[IL_Cable]]+Calculate[[#This Row],[IL_PCB]]</f>
        <v>-24.957481690766517</v>
      </c>
      <c r="F125" s="2">
        <f>Masks!A125</f>
        <v>-99.739487950591496</v>
      </c>
      <c r="G125" s="2">
        <f>Masks!B125</f>
        <v>-99.739487950591496</v>
      </c>
      <c r="H125" s="2">
        <f>Calculate[[#This Row],[Tx_PSD_us]]+Calculate[[#This Row],[IL]]</f>
        <v>-124.69696964135801</v>
      </c>
      <c r="I125" s="2">
        <f>Calculate[[#This Row],[Tx_PSD_ds]]+Calculate[[#This Row],[IL]]</f>
        <v>-124.69696964135801</v>
      </c>
      <c r="J125" s="2">
        <f>Masks[[#This Row],[channel_echo]]</f>
        <v>-10.094456679179775</v>
      </c>
      <c r="K125" s="2">
        <f>Masks[[#This Row],[channel_echo]]</f>
        <v>-10.094456679179775</v>
      </c>
      <c r="L125" s="2">
        <f>Calculate[[#This Row],[Echo_transfer_us]]+Calculate[[#This Row],[Tx_PSD_ds]]</f>
        <v>-109.83394462977127</v>
      </c>
      <c r="M125" s="2">
        <f>Calculate[[#This Row],[Echo_transfer_ds]]+Calculate[[#This Row],[Tx_PSD_us]]</f>
        <v>-109.83394462977127</v>
      </c>
      <c r="N125" s="2">
        <f t="shared" si="15"/>
        <v>-140</v>
      </c>
      <c r="O125" s="2">
        <f t="shared" si="16"/>
        <v>-140</v>
      </c>
      <c r="P125" s="2">
        <f t="shared" si="17"/>
        <v>6</v>
      </c>
      <c r="Q125" s="2">
        <f t="shared" si="18"/>
        <v>6</v>
      </c>
      <c r="R125" s="2">
        <f>10*LOG10((10^(Calculate[[#This Row],[Rx_echo_us]]/10))-(10^((Masks[[#This Row],[connector_echo]]+Calculate[[#This Row],[Tx_PSD_ds]])/10))*EC_conector_ratio_us)-Calculate[[#This Row],[EC_cancelation_us]]</f>
        <v>-147.38030169723953</v>
      </c>
      <c r="S125" s="2">
        <f>10*LOG10((10^(Calculate[[#This Row],[Rx_echo_ds]]/10))-(10^((Masks[[#This Row],[connector_echo]]+Calculate[[#This Row],[Tx_PSD_us]])/10))*EC_conector_ratio_ds)-Calculate[[#This Row],[EC_cancelation_ds]]</f>
        <v>-147.38030169723953</v>
      </c>
      <c r="T125" s="1">
        <f>(POWER(10,Calculate[[#This Row],[AFE_noise_us]]/10)+POWER(10,Calculate[[#This Row],[Echo_res_us]]/10))</f>
        <v>1.1827973225435932E-14</v>
      </c>
      <c r="U125" s="1">
        <f>(POWER(10,Calculate[[#This Row],[AFE_noise_ds]]/10)+POWER(10,Calculate[[#This Row],[Echo_res_ds]]/10))</f>
        <v>1.1827973225435932E-14</v>
      </c>
      <c r="V125" s="2">
        <f>10*LOG10(Calculate[[#This Row],[Linear_Noise_us]])</f>
        <v>-139.27089667241844</v>
      </c>
      <c r="W125" s="2">
        <f>10*LOG10(Calculate[[#This Row],[Linear_Noise_ds]])</f>
        <v>-139.27089667241844</v>
      </c>
      <c r="X125" s="2">
        <f>Calculate[[#This Row],[Rx_PSD_us]]-Calculate[[#This Row],[Noise_us]]</f>
        <v>14.573927031060435</v>
      </c>
      <c r="Y125" s="2">
        <f>Calculate[[#This Row],[Rx_PSD_ds]]-Calculate[[#This Row],[Noise_ds]]</f>
        <v>14.573927031060435</v>
      </c>
      <c r="Z125" s="2">
        <f>POWER(10,Calculate[[#This Row],[SNRdB_us]]/10)</f>
        <v>28.667690234719689</v>
      </c>
      <c r="AA125" s="2">
        <f>POWER(10,Calculate[[#This Row],[SNRdB_ds]]/10)</f>
        <v>28.667690234719689</v>
      </c>
      <c r="AB125" s="2">
        <f>-(0.002*Calculate[[#This Row],[Freq]]/1000000/2.5+0.68*(Calculate[[#This Row],[Freq]]/1000000/2.5)^0.45)</f>
        <v>-26.312483514527557</v>
      </c>
      <c r="AC125" s="2"/>
    </row>
    <row r="126" spans="1:29" x14ac:dyDescent="0.25">
      <c r="A126" s="33">
        <f t="shared" si="19"/>
        <v>5625000000</v>
      </c>
      <c r="B126" s="1">
        <f>Calculate[[#This Row],[Freq]]-A125</f>
        <v>45000000</v>
      </c>
      <c r="C126" s="1">
        <f>Channels!B126*cable_length</f>
        <v>-23.179190987720457</v>
      </c>
      <c r="D126" s="1">
        <f>Channels!C126*PCB_trace_length</f>
        <v>-1.908206990473639</v>
      </c>
      <c r="E126" s="1">
        <f>Calculate[[#This Row],[IL_Cable]]+Calculate[[#This Row],[IL_PCB]]</f>
        <v>-25.087397978194097</v>
      </c>
      <c r="F126" s="2">
        <f>Masks!A126</f>
        <v>-99.780396167456232</v>
      </c>
      <c r="G126" s="2">
        <f>Masks!B126</f>
        <v>-99.780396167456232</v>
      </c>
      <c r="H126" s="2">
        <f>Calculate[[#This Row],[Tx_PSD_us]]+Calculate[[#This Row],[IL]]</f>
        <v>-124.86779414565032</v>
      </c>
      <c r="I126" s="2">
        <f>Calculate[[#This Row],[Tx_PSD_ds]]+Calculate[[#This Row],[IL]]</f>
        <v>-124.86779414565032</v>
      </c>
      <c r="J126" s="2">
        <f>Masks[[#This Row],[channel_echo]]</f>
        <v>-10.060634684480307</v>
      </c>
      <c r="K126" s="2">
        <f>Masks[[#This Row],[channel_echo]]</f>
        <v>-10.060634684480307</v>
      </c>
      <c r="L126" s="2">
        <f>Calculate[[#This Row],[Echo_transfer_us]]+Calculate[[#This Row],[Tx_PSD_ds]]</f>
        <v>-109.84103085193654</v>
      </c>
      <c r="M126" s="2">
        <f>Calculate[[#This Row],[Echo_transfer_ds]]+Calculate[[#This Row],[Tx_PSD_us]]</f>
        <v>-109.84103085193654</v>
      </c>
      <c r="N126" s="2">
        <f t="shared" si="15"/>
        <v>-140</v>
      </c>
      <c r="O126" s="2">
        <f t="shared" si="16"/>
        <v>-140</v>
      </c>
      <c r="P126" s="2">
        <f t="shared" si="17"/>
        <v>6</v>
      </c>
      <c r="Q126" s="2">
        <f t="shared" si="18"/>
        <v>6</v>
      </c>
      <c r="R126" s="2">
        <f>10*LOG10((10^(Calculate[[#This Row],[Rx_echo_us]]/10))-(10^((Masks[[#This Row],[connector_echo]]+Calculate[[#This Row],[Tx_PSD_ds]])/10))*EC_conector_ratio_us)-Calculate[[#This Row],[EC_cancelation_us]]</f>
        <v>-147.42120991413233</v>
      </c>
      <c r="S126" s="2">
        <f>10*LOG10((10^(Calculate[[#This Row],[Rx_echo_ds]]/10))-(10^((Masks[[#This Row],[connector_echo]]+Calculate[[#This Row],[Tx_PSD_us]])/10))*EC_conector_ratio_ds)-Calculate[[#This Row],[EC_cancelation_ds]]</f>
        <v>-147.42120991413233</v>
      </c>
      <c r="T126" s="1">
        <f>(POWER(10,Calculate[[#This Row],[AFE_noise_us]]/10)+POWER(10,Calculate[[#This Row],[Echo_res_us]]/10))</f>
        <v>1.1810835536191017E-14</v>
      </c>
      <c r="U126" s="1">
        <f>(POWER(10,Calculate[[#This Row],[AFE_noise_ds]]/10)+POWER(10,Calculate[[#This Row],[Echo_res_ds]]/10))</f>
        <v>1.1810835536191017E-14</v>
      </c>
      <c r="V126" s="2">
        <f>10*LOG10(Calculate[[#This Row],[Linear_Noise_us]])</f>
        <v>-139.27719377922332</v>
      </c>
      <c r="W126" s="2">
        <f>10*LOG10(Calculate[[#This Row],[Linear_Noise_ds]])</f>
        <v>-139.27719377922332</v>
      </c>
      <c r="X126" s="2">
        <f>Calculate[[#This Row],[Rx_PSD_us]]-Calculate[[#This Row],[Noise_us]]</f>
        <v>14.409399633573003</v>
      </c>
      <c r="Y126" s="2">
        <f>Calculate[[#This Row],[Rx_PSD_ds]]-Calculate[[#This Row],[Noise_ds]]</f>
        <v>14.409399633573003</v>
      </c>
      <c r="Z126" s="2">
        <f>POWER(10,Calculate[[#This Row],[SNRdB_us]]/10)</f>
        <v>27.601962617534241</v>
      </c>
      <c r="AA126" s="2">
        <f>POWER(10,Calculate[[#This Row],[SNRdB_ds]]/10)</f>
        <v>27.601962617534241</v>
      </c>
      <c r="AB126" s="2">
        <f>-(0.002*Calculate[[#This Row],[Freq]]/1000000/2.5+0.68*(Calculate[[#This Row],[Freq]]/1000000/2.5)^0.45)</f>
        <v>-26.427597252711198</v>
      </c>
      <c r="AC126" s="2"/>
    </row>
    <row r="127" spans="1:29" x14ac:dyDescent="0.25">
      <c r="A127" s="33">
        <f t="shared" si="19"/>
        <v>5670000000</v>
      </c>
      <c r="B127" s="1">
        <f>Calculate[[#This Row],[Freq]]-A126</f>
        <v>45000000</v>
      </c>
      <c r="C127" s="1">
        <f>Channels!B127*cable_length</f>
        <v>-23.294584531242826</v>
      </c>
      <c r="D127" s="1">
        <f>Channels!C127*PCB_trace_length</f>
        <v>-1.9224460274354784</v>
      </c>
      <c r="E127" s="1">
        <f>Calculate[[#This Row],[IL_Cable]]+Calculate[[#This Row],[IL_PCB]]</f>
        <v>-25.217030558678303</v>
      </c>
      <c r="F127" s="2">
        <f>Masks!A127</f>
        <v>-99.821719004122201</v>
      </c>
      <c r="G127" s="2">
        <f>Masks!B127</f>
        <v>-99.821719004122201</v>
      </c>
      <c r="H127" s="2">
        <f>Calculate[[#This Row],[Tx_PSD_us]]+Calculate[[#This Row],[IL]]</f>
        <v>-125.0387495628005</v>
      </c>
      <c r="I127" s="2">
        <f>Calculate[[#This Row],[Tx_PSD_ds]]+Calculate[[#This Row],[IL]]</f>
        <v>-125.0387495628005</v>
      </c>
      <c r="J127" s="2">
        <f>Masks[[#This Row],[channel_echo]]</f>
        <v>-10.027074054634559</v>
      </c>
      <c r="K127" s="2">
        <f>Masks[[#This Row],[channel_echo]]</f>
        <v>-10.027074054634559</v>
      </c>
      <c r="L127" s="2">
        <f>Calculate[[#This Row],[Echo_transfer_us]]+Calculate[[#This Row],[Tx_PSD_ds]]</f>
        <v>-109.84879305875675</v>
      </c>
      <c r="M127" s="2">
        <f>Calculate[[#This Row],[Echo_transfer_ds]]+Calculate[[#This Row],[Tx_PSD_us]]</f>
        <v>-109.84879305875675</v>
      </c>
      <c r="N127" s="2">
        <f t="shared" si="15"/>
        <v>-140</v>
      </c>
      <c r="O127" s="2">
        <f t="shared" si="16"/>
        <v>-140</v>
      </c>
      <c r="P127" s="2">
        <f t="shared" si="17"/>
        <v>6</v>
      </c>
      <c r="Q127" s="2">
        <f t="shared" si="18"/>
        <v>6</v>
      </c>
      <c r="R127" s="2">
        <f>10*LOG10((10^(Calculate[[#This Row],[Rx_echo_us]]/10))-(10^((Masks[[#This Row],[connector_echo]]+Calculate[[#This Row],[Tx_PSD_ds]])/10))*EC_conector_ratio_us)-Calculate[[#This Row],[EC_cancelation_us]]</f>
        <v>-147.46253275078743</v>
      </c>
      <c r="S127" s="2">
        <f>10*LOG10((10^(Calculate[[#This Row],[Rx_echo_ds]]/10))-(10^((Masks[[#This Row],[connector_echo]]+Calculate[[#This Row],[Tx_PSD_us]])/10))*EC_conector_ratio_ds)-Calculate[[#This Row],[EC_cancelation_ds]]</f>
        <v>-147.46253275078743</v>
      </c>
      <c r="T127" s="1">
        <f>(POWER(10,Calculate[[#This Row],[AFE_noise_us]]/10)+POWER(10,Calculate[[#This Row],[Echo_res_us]]/10))</f>
        <v>1.1793687265899697E-14</v>
      </c>
      <c r="U127" s="1">
        <f>(POWER(10,Calculate[[#This Row],[AFE_noise_ds]]/10)+POWER(10,Calculate[[#This Row],[Echo_res_ds]]/10))</f>
        <v>1.1793687265899697E-14</v>
      </c>
      <c r="V127" s="2">
        <f>10*LOG10(Calculate[[#This Row],[Linear_Noise_us]])</f>
        <v>-139.28350392625265</v>
      </c>
      <c r="W127" s="2">
        <f>10*LOG10(Calculate[[#This Row],[Linear_Noise_ds]])</f>
        <v>-139.28350392625265</v>
      </c>
      <c r="X127" s="2">
        <f>Calculate[[#This Row],[Rx_PSD_us]]-Calculate[[#This Row],[Noise_us]]</f>
        <v>14.244754363452145</v>
      </c>
      <c r="Y127" s="2">
        <f>Calculate[[#This Row],[Rx_PSD_ds]]-Calculate[[#This Row],[Noise_ds]]</f>
        <v>14.244754363452145</v>
      </c>
      <c r="Z127" s="2">
        <f>POWER(10,Calculate[[#This Row],[SNRdB_us]]/10)</f>
        <v>26.575132366064107</v>
      </c>
      <c r="AA127" s="2">
        <f>POWER(10,Calculate[[#This Row],[SNRdB_ds]]/10)</f>
        <v>26.575132366064107</v>
      </c>
      <c r="AB127" s="2">
        <f>-(0.002*Calculate[[#This Row],[Freq]]/1000000/2.5+0.68*(Calculate[[#This Row],[Freq]]/1000000/2.5)^0.45)</f>
        <v>-26.542363650432307</v>
      </c>
      <c r="AC127" s="2"/>
    </row>
    <row r="128" spans="1:29" x14ac:dyDescent="0.25">
      <c r="A128" s="33">
        <f t="shared" si="19"/>
        <v>5715000000</v>
      </c>
      <c r="B128" s="1">
        <f>Calculate[[#This Row],[Freq]]-A127</f>
        <v>45000000</v>
      </c>
      <c r="C128" s="1">
        <f>Channels!B128*cable_length</f>
        <v>-23.409701788362948</v>
      </c>
      <c r="D128" s="1">
        <f>Channels!C128*PCB_trace_length</f>
        <v>-1.9366810146982498</v>
      </c>
      <c r="E128" s="1">
        <f>Calculate[[#This Row],[IL_Cable]]+Calculate[[#This Row],[IL_PCB]]</f>
        <v>-25.346382803061196</v>
      </c>
      <c r="F128" s="2">
        <f>Masks!A128</f>
        <v>-99.863459037320752</v>
      </c>
      <c r="G128" s="2">
        <f>Masks!B128</f>
        <v>-99.863459037320752</v>
      </c>
      <c r="H128" s="2">
        <f>Calculate[[#This Row],[Tx_PSD_us]]+Calculate[[#This Row],[IL]]</f>
        <v>-125.20984184038196</v>
      </c>
      <c r="I128" s="2">
        <f>Calculate[[#This Row],[Tx_PSD_ds]]+Calculate[[#This Row],[IL]]</f>
        <v>-125.20984184038196</v>
      </c>
      <c r="J128" s="2">
        <f>Masks[[#This Row],[channel_echo]]</f>
        <v>-9.9937707811221035</v>
      </c>
      <c r="K128" s="2">
        <f>Masks[[#This Row],[channel_echo]]</f>
        <v>-9.9937707811221035</v>
      </c>
      <c r="L128" s="2">
        <f>Calculate[[#This Row],[Echo_transfer_us]]+Calculate[[#This Row],[Tx_PSD_ds]]</f>
        <v>-109.85722981844286</v>
      </c>
      <c r="M128" s="2">
        <f>Calculate[[#This Row],[Echo_transfer_ds]]+Calculate[[#This Row],[Tx_PSD_us]]</f>
        <v>-109.85722981844286</v>
      </c>
      <c r="N128" s="2">
        <f t="shared" si="15"/>
        <v>-140</v>
      </c>
      <c r="O128" s="2">
        <f t="shared" si="16"/>
        <v>-140</v>
      </c>
      <c r="P128" s="2">
        <f t="shared" si="17"/>
        <v>6</v>
      </c>
      <c r="Q128" s="2">
        <f t="shared" si="18"/>
        <v>6</v>
      </c>
      <c r="R128" s="2">
        <f>10*LOG10((10^(Calculate[[#This Row],[Rx_echo_us]]/10))-(10^((Masks[[#This Row],[connector_echo]]+Calculate[[#This Row],[Tx_PSD_ds]])/10))*EC_conector_ratio_us)-Calculate[[#This Row],[EC_cancelation_us]]</f>
        <v>-147.50427278401321</v>
      </c>
      <c r="S128" s="2">
        <f>10*LOG10((10^(Calculate[[#This Row],[Rx_echo_ds]]/10))-(10^((Masks[[#This Row],[connector_echo]]+Calculate[[#This Row],[Tx_PSD_us]])/10))*EC_conector_ratio_ds)-Calculate[[#This Row],[EC_cancelation_ds]]</f>
        <v>-147.50427278401321</v>
      </c>
      <c r="T128" s="1">
        <f>(POWER(10,Calculate[[#This Row],[AFE_noise_us]]/10)+POWER(10,Calculate[[#This Row],[Echo_res_us]]/10))</f>
        <v>1.1776530719311947E-14</v>
      </c>
      <c r="U128" s="1">
        <f>(POWER(10,Calculate[[#This Row],[AFE_noise_ds]]/10)+POWER(10,Calculate[[#This Row],[Echo_res_ds]]/10))</f>
        <v>1.1776530719311947E-14</v>
      </c>
      <c r="V128" s="2">
        <f>10*LOG10(Calculate[[#This Row],[Linear_Noise_us]])</f>
        <v>-139.28982630717601</v>
      </c>
      <c r="W128" s="2">
        <f>10*LOG10(Calculate[[#This Row],[Linear_Noise_ds]])</f>
        <v>-139.28982630717601</v>
      </c>
      <c r="X128" s="2">
        <f>Calculate[[#This Row],[Rx_PSD_us]]-Calculate[[#This Row],[Noise_us]]</f>
        <v>14.079984466794059</v>
      </c>
      <c r="Y128" s="2">
        <f>Calculate[[#This Row],[Rx_PSD_ds]]-Calculate[[#This Row],[Noise_ds]]</f>
        <v>14.079984466794059</v>
      </c>
      <c r="Z128" s="2">
        <f>POWER(10,Calculate[[#This Row],[SNRdB_us]]/10)</f>
        <v>25.585767357485221</v>
      </c>
      <c r="AA128" s="2">
        <f>POWER(10,Calculate[[#This Row],[SNRdB_ds]]/10)</f>
        <v>25.585767357485221</v>
      </c>
      <c r="AB128" s="2">
        <f>-(0.002*Calculate[[#This Row],[Freq]]/1000000/2.5+0.68*(Calculate[[#This Row],[Freq]]/1000000/2.5)^0.45)</f>
        <v>-26.656786971307504</v>
      </c>
      <c r="AC128" s="2"/>
    </row>
    <row r="129" spans="1:29" x14ac:dyDescent="0.25">
      <c r="A129" s="33">
        <f t="shared" si="19"/>
        <v>5760000000</v>
      </c>
      <c r="B129" s="1">
        <f>Calculate[[#This Row],[Freq]]-A128</f>
        <v>45000000</v>
      </c>
      <c r="C129" s="1">
        <f>Channels!B129*cable_length</f>
        <v>-23.524546015958222</v>
      </c>
      <c r="D129" s="1">
        <f>Channels!C129*PCB_trace_length</f>
        <v>-1.9509120000000004</v>
      </c>
      <c r="E129" s="1">
        <f>Calculate[[#This Row],[IL_Cable]]+Calculate[[#This Row],[IL_PCB]]</f>
        <v>-25.475458015958221</v>
      </c>
      <c r="F129" s="2">
        <f>Masks!A129</f>
        <v>-99.905618889527801</v>
      </c>
      <c r="G129" s="2">
        <f>Masks!B129</f>
        <v>-99.905618889527801</v>
      </c>
      <c r="H129" s="2">
        <f>Calculate[[#This Row],[Tx_PSD_us]]+Calculate[[#This Row],[IL]]</f>
        <v>-125.38107690548603</v>
      </c>
      <c r="I129" s="2">
        <f>Calculate[[#This Row],[Tx_PSD_ds]]+Calculate[[#This Row],[IL]]</f>
        <v>-125.38107690548603</v>
      </c>
      <c r="J129" s="2">
        <f>Masks[[#This Row],[channel_echo]]</f>
        <v>-9.9607209469384426</v>
      </c>
      <c r="K129" s="2">
        <f>Masks[[#This Row],[channel_echo]]</f>
        <v>-9.9607209469384426</v>
      </c>
      <c r="L129" s="2">
        <f>Calculate[[#This Row],[Echo_transfer_us]]+Calculate[[#This Row],[Tx_PSD_ds]]</f>
        <v>-109.86633983646624</v>
      </c>
      <c r="M129" s="2">
        <f>Calculate[[#This Row],[Echo_transfer_ds]]+Calculate[[#This Row],[Tx_PSD_us]]</f>
        <v>-109.86633983646624</v>
      </c>
      <c r="N129" s="2">
        <f t="shared" si="15"/>
        <v>-140</v>
      </c>
      <c r="O129" s="2">
        <f t="shared" si="16"/>
        <v>-140</v>
      </c>
      <c r="P129" s="2">
        <f t="shared" si="17"/>
        <v>6</v>
      </c>
      <c r="Q129" s="2">
        <f t="shared" si="18"/>
        <v>6</v>
      </c>
      <c r="R129" s="2">
        <f>10*LOG10((10^(Calculate[[#This Row],[Rx_echo_us]]/10))-(10^((Masks[[#This Row],[connector_echo]]+Calculate[[#This Row],[Tx_PSD_ds]])/10))*EC_conector_ratio_us)-Calculate[[#This Row],[EC_cancelation_us]]</f>
        <v>-147.546432636183</v>
      </c>
      <c r="S129" s="2">
        <f>10*LOG10((10^(Calculate[[#This Row],[Rx_echo_ds]]/10))-(10^((Masks[[#This Row],[connector_echo]]+Calculate[[#This Row],[Tx_PSD_us]])/10))*EC_conector_ratio_ds)-Calculate[[#This Row],[EC_cancelation_ds]]</f>
        <v>-147.546432636183</v>
      </c>
      <c r="T129" s="1">
        <f>(POWER(10,Calculate[[#This Row],[AFE_noise_us]]/10)+POWER(10,Calculate[[#This Row],[Echo_res_us]]/10))</f>
        <v>1.1759368193540651E-14</v>
      </c>
      <c r="U129" s="1">
        <f>(POWER(10,Calculate[[#This Row],[AFE_noise_ds]]/10)+POWER(10,Calculate[[#This Row],[Echo_res_ds]]/10))</f>
        <v>1.1759368193540651E-14</v>
      </c>
      <c r="V129" s="2">
        <f>10*LOG10(Calculate[[#This Row],[Linear_Noise_us]])</f>
        <v>-139.29616011374677</v>
      </c>
      <c r="W129" s="2">
        <f>10*LOG10(Calculate[[#This Row],[Linear_Noise_ds]])</f>
        <v>-139.29616011374677</v>
      </c>
      <c r="X129" s="2">
        <f>Calculate[[#This Row],[Rx_PSD_us]]-Calculate[[#This Row],[Noise_us]]</f>
        <v>13.915083208260739</v>
      </c>
      <c r="Y129" s="2">
        <f>Calculate[[#This Row],[Rx_PSD_ds]]-Calculate[[#This Row],[Noise_ds]]</f>
        <v>13.915083208260739</v>
      </c>
      <c r="Z129" s="2">
        <f>POWER(10,Calculate[[#This Row],[SNRdB_us]]/10)</f>
        <v>24.632490321813865</v>
      </c>
      <c r="AA129" s="2">
        <f>POWER(10,Calculate[[#This Row],[SNRdB_ds]]/10)</f>
        <v>24.632490321813865</v>
      </c>
      <c r="AB129" s="2">
        <f>-(0.002*Calculate[[#This Row],[Freq]]/1000000/2.5+0.68*(Calculate[[#This Row],[Freq]]/1000000/2.5)^0.45)</f>
        <v>-26.770871393528012</v>
      </c>
      <c r="AC129" s="2"/>
    </row>
    <row r="130" spans="1:29" x14ac:dyDescent="0.25">
      <c r="A130" s="33">
        <f t="shared" si="19"/>
        <v>5805000000</v>
      </c>
      <c r="B130" s="1">
        <f>Calculate[[#This Row],[Freq]]-A129</f>
        <v>45000000</v>
      </c>
      <c r="C130" s="1">
        <f>Channels!B130*cable_length</f>
        <v>-23.639120407417458</v>
      </c>
      <c r="D130" s="1">
        <f>Channels!C130*PCB_trace_length</f>
        <v>-1.9651390301481861</v>
      </c>
      <c r="E130" s="1">
        <f>Calculate[[#This Row],[IL_Cable]]+Calculate[[#This Row],[IL_PCB]]</f>
        <v>-25.604259437565645</v>
      </c>
      <c r="F130" s="2">
        <f>Masks!A130</f>
        <v>-99.948201229894082</v>
      </c>
      <c r="G130" s="2">
        <f>Masks!B130</f>
        <v>-99.948201229894082</v>
      </c>
      <c r="H130" s="2">
        <f>Calculate[[#This Row],[Tx_PSD_us]]+Calculate[[#This Row],[IL]]</f>
        <v>-125.55246066745973</v>
      </c>
      <c r="I130" s="2">
        <f>Calculate[[#This Row],[Tx_PSD_ds]]+Calculate[[#This Row],[IL]]</f>
        <v>-125.55246066745973</v>
      </c>
      <c r="J130" s="2">
        <f>Masks[[#This Row],[channel_echo]]</f>
        <v>-9.9279207238302565</v>
      </c>
      <c r="K130" s="2">
        <f>Masks[[#This Row],[channel_echo]]</f>
        <v>-9.9279207238302565</v>
      </c>
      <c r="L130" s="2">
        <f>Calculate[[#This Row],[Echo_transfer_us]]+Calculate[[#This Row],[Tx_PSD_ds]]</f>
        <v>-109.87612195372434</v>
      </c>
      <c r="M130" s="2">
        <f>Calculate[[#This Row],[Echo_transfer_ds]]+Calculate[[#This Row],[Tx_PSD_us]]</f>
        <v>-109.87612195372434</v>
      </c>
      <c r="N130" s="2">
        <f t="shared" ref="N130:N161" si="20">AFE_noise_us</f>
        <v>-140</v>
      </c>
      <c r="O130" s="2">
        <f t="shared" ref="O130:O161" si="21">AFE_noise_ds</f>
        <v>-140</v>
      </c>
      <c r="P130" s="2">
        <f t="shared" ref="P130:P161" si="22">EC_cancel_us</f>
        <v>6</v>
      </c>
      <c r="Q130" s="2">
        <f t="shared" ref="Q130:Q161" si="23">EC_cancel_ds</f>
        <v>6</v>
      </c>
      <c r="R130" s="2">
        <f>10*LOG10((10^(Calculate[[#This Row],[Rx_echo_us]]/10))-(10^((Masks[[#This Row],[connector_echo]]+Calculate[[#This Row],[Tx_PSD_ds]])/10))*EC_conector_ratio_us)-Calculate[[#This Row],[EC_cancelation_us]]</f>
        <v>-147.58901497654713</v>
      </c>
      <c r="S130" s="2">
        <f>10*LOG10((10^(Calculate[[#This Row],[Rx_echo_ds]]/10))-(10^((Masks[[#This Row],[connector_echo]]+Calculate[[#This Row],[Tx_PSD_us]])/10))*EC_conector_ratio_ds)-Calculate[[#This Row],[EC_cancelation_ds]]</f>
        <v>-147.58901497654713</v>
      </c>
      <c r="T130" s="1">
        <f>(POWER(10,Calculate[[#This Row],[AFE_noise_us]]/10)+POWER(10,Calculate[[#This Row],[Echo_res_us]]/10))</f>
        <v>1.1742201977469186E-14</v>
      </c>
      <c r="U130" s="1">
        <f>(POWER(10,Calculate[[#This Row],[AFE_noise_ds]]/10)+POWER(10,Calculate[[#This Row],[Echo_res_ds]]/10))</f>
        <v>1.1742201977469186E-14</v>
      </c>
      <c r="V130" s="2">
        <f>10*LOG10(Calculate[[#This Row],[Linear_Noise_us]])</f>
        <v>-139.30250453600161</v>
      </c>
      <c r="W130" s="2">
        <f>10*LOG10(Calculate[[#This Row],[Linear_Noise_ds]])</f>
        <v>-139.30250453600161</v>
      </c>
      <c r="X130" s="2">
        <f>Calculate[[#This Row],[Rx_PSD_us]]-Calculate[[#This Row],[Noise_us]]</f>
        <v>13.75004386854188</v>
      </c>
      <c r="Y130" s="2">
        <f>Calculate[[#This Row],[Rx_PSD_ds]]-Calculate[[#This Row],[Noise_ds]]</f>
        <v>13.75004386854188</v>
      </c>
      <c r="Z130" s="2">
        <f>POWER(10,Calculate[[#This Row],[SNRdB_us]]/10)</f>
        <v>23.713976592775676</v>
      </c>
      <c r="AA130" s="2">
        <f>POWER(10,Calculate[[#This Row],[SNRdB_ds]]/10)</f>
        <v>23.713976592775676</v>
      </c>
      <c r="AB130" s="2">
        <f>-(0.002*Calculate[[#This Row],[Freq]]/1000000/2.5+0.68*(Calculate[[#This Row],[Freq]]/1000000/2.5)^0.45)</f>
        <v>-26.884621012223889</v>
      </c>
      <c r="AC130" s="2"/>
    </row>
    <row r="131" spans="1:29" x14ac:dyDescent="0.25">
      <c r="A131" s="33">
        <f t="shared" ref="A131:A162" si="24">f_step+A130</f>
        <v>5850000000</v>
      </c>
      <c r="B131" s="1">
        <f>Calculate[[#This Row],[Freq]]-A130</f>
        <v>45000000</v>
      </c>
      <c r="C131" s="1">
        <f>Channels!B131*cable_length</f>
        <v>-23.753428094360146</v>
      </c>
      <c r="D131" s="1">
        <f>Channels!C131*PCB_trace_length</f>
        <v>-1.9793621510448731</v>
      </c>
      <c r="E131" s="1">
        <f>Calculate[[#This Row],[IL_Cable]]+Calculate[[#This Row],[IL_PCB]]</f>
        <v>-25.73279024540502</v>
      </c>
      <c r="F131" s="2">
        <f>Masks!A131</f>
        <v>-99.991208775201159</v>
      </c>
      <c r="G131" s="2">
        <f>Masks!B131</f>
        <v>-99.991208775201159</v>
      </c>
      <c r="H131" s="2">
        <f>Calculate[[#This Row],[Tx_PSD_us]]+Calculate[[#This Row],[IL]]</f>
        <v>-125.72399902060619</v>
      </c>
      <c r="I131" s="2">
        <f>Calculate[[#This Row],[Tx_PSD_ds]]+Calculate[[#This Row],[IL]]</f>
        <v>-125.72399902060619</v>
      </c>
      <c r="J131" s="2">
        <f>Masks[[#This Row],[channel_echo]]</f>
        <v>-9.8953663696342673</v>
      </c>
      <c r="K131" s="2">
        <f>Masks[[#This Row],[channel_echo]]</f>
        <v>-9.8953663696342673</v>
      </c>
      <c r="L131" s="2">
        <f>Calculate[[#This Row],[Echo_transfer_us]]+Calculate[[#This Row],[Tx_PSD_ds]]</f>
        <v>-109.88657514483543</v>
      </c>
      <c r="M131" s="2">
        <f>Calculate[[#This Row],[Echo_transfer_ds]]+Calculate[[#This Row],[Tx_PSD_us]]</f>
        <v>-109.88657514483543</v>
      </c>
      <c r="N131" s="2">
        <f t="shared" si="20"/>
        <v>-140</v>
      </c>
      <c r="O131" s="2">
        <f t="shared" si="21"/>
        <v>-140</v>
      </c>
      <c r="P131" s="2">
        <f t="shared" si="22"/>
        <v>6</v>
      </c>
      <c r="Q131" s="2">
        <f t="shared" si="23"/>
        <v>6</v>
      </c>
      <c r="R131" s="2">
        <f>10*LOG10((10^(Calculate[[#This Row],[Rx_echo_us]]/10))-(10^((Masks[[#This Row],[connector_echo]]+Calculate[[#This Row],[Tx_PSD_ds]])/10))*EC_conector_ratio_us)-Calculate[[#This Row],[EC_cancelation_us]]</f>
        <v>-147.63202252187224</v>
      </c>
      <c r="S131" s="2">
        <f>10*LOG10((10^(Calculate[[#This Row],[Rx_echo_ds]]/10))-(10^((Masks[[#This Row],[connector_echo]]+Calculate[[#This Row],[Tx_PSD_us]])/10))*EC_conector_ratio_ds)-Calculate[[#This Row],[EC_cancelation_ds]]</f>
        <v>-147.63202252187224</v>
      </c>
      <c r="T131" s="1">
        <f>(POWER(10,Calculate[[#This Row],[AFE_noise_us]]/10)+POWER(10,Calculate[[#This Row],[Echo_res_us]]/10))</f>
        <v>1.1725034351448545E-14</v>
      </c>
      <c r="U131" s="1">
        <f>(POWER(10,Calculate[[#This Row],[AFE_noise_ds]]/10)+POWER(10,Calculate[[#This Row],[Echo_res_ds]]/10))</f>
        <v>1.1725034351448545E-14</v>
      </c>
      <c r="V131" s="2">
        <f>10*LOG10(Calculate[[#This Row],[Linear_Noise_us]])</f>
        <v>-139.30885876235678</v>
      </c>
      <c r="W131" s="2">
        <f>10*LOG10(Calculate[[#This Row],[Linear_Noise_ds]])</f>
        <v>-139.30885876235678</v>
      </c>
      <c r="X131" s="2">
        <f>Calculate[[#This Row],[Rx_PSD_us]]-Calculate[[#This Row],[Noise_us]]</f>
        <v>13.584859741750591</v>
      </c>
      <c r="Y131" s="2">
        <f>Calculate[[#This Row],[Rx_PSD_ds]]-Calculate[[#This Row],[Noise_ds]]</f>
        <v>13.584859741750591</v>
      </c>
      <c r="Z131" s="2">
        <f>POWER(10,Calculate[[#This Row],[SNRdB_us]]/10)</f>
        <v>22.828951958920065</v>
      </c>
      <c r="AA131" s="2">
        <f>POWER(10,Calculate[[#This Row],[SNRdB_ds]]/10)</f>
        <v>22.828951958920065</v>
      </c>
      <c r="AB131" s="2">
        <f>-(0.002*Calculate[[#This Row],[Freq]]/1000000/2.5+0.68*(Calculate[[#This Row],[Freq]]/1000000/2.5)^0.45)</f>
        <v>-26.998039841745118</v>
      </c>
      <c r="AC131" s="2"/>
    </row>
    <row r="132" spans="1:29" x14ac:dyDescent="0.25">
      <c r="A132" s="33">
        <f t="shared" si="24"/>
        <v>5895000000</v>
      </c>
      <c r="B132" s="1">
        <f>Calculate[[#This Row],[Freq]]-A131</f>
        <v>45000000</v>
      </c>
      <c r="C132" s="1">
        <f>Channels!B132*cable_length</f>
        <v>-23.867472148296368</v>
      </c>
      <c r="D132" s="1">
        <f>Channels!C132*PCB_trace_length</f>
        <v>-1.9935814077110665</v>
      </c>
      <c r="E132" s="1">
        <f>Calculate[[#This Row],[IL_Cable]]+Calculate[[#This Row],[IL_PCB]]</f>
        <v>-25.861053556007434</v>
      </c>
      <c r="F132" s="2">
        <f>Masks!A132</f>
        <v>-100.0346442908442</v>
      </c>
      <c r="G132" s="2">
        <f>Masks!B132</f>
        <v>-100.0346442908442</v>
      </c>
      <c r="H132" s="2">
        <f>Calculate[[#This Row],[Tx_PSD_us]]+Calculate[[#This Row],[IL]]</f>
        <v>-125.89569784685163</v>
      </c>
      <c r="I132" s="2">
        <f>Calculate[[#This Row],[Tx_PSD_ds]]+Calculate[[#This Row],[IL]]</f>
        <v>-125.89569784685163</v>
      </c>
      <c r="J132" s="2">
        <f>Masks[[#This Row],[channel_echo]]</f>
        <v>-9.8630542257150804</v>
      </c>
      <c r="K132" s="2">
        <f>Masks[[#This Row],[channel_echo]]</f>
        <v>-9.8630542257150804</v>
      </c>
      <c r="L132" s="2">
        <f>Calculate[[#This Row],[Echo_transfer_us]]+Calculate[[#This Row],[Tx_PSD_ds]]</f>
        <v>-109.89769851655927</v>
      </c>
      <c r="M132" s="2">
        <f>Calculate[[#This Row],[Echo_transfer_ds]]+Calculate[[#This Row],[Tx_PSD_us]]</f>
        <v>-109.89769851655927</v>
      </c>
      <c r="N132" s="2">
        <f t="shared" si="20"/>
        <v>-140</v>
      </c>
      <c r="O132" s="2">
        <f t="shared" si="21"/>
        <v>-140</v>
      </c>
      <c r="P132" s="2">
        <f t="shared" si="22"/>
        <v>6</v>
      </c>
      <c r="Q132" s="2">
        <f t="shared" si="23"/>
        <v>6</v>
      </c>
      <c r="R132" s="2">
        <f>10*LOG10((10^(Calculate[[#This Row],[Rx_echo_us]]/10))-(10^((Masks[[#This Row],[connector_echo]]+Calculate[[#This Row],[Tx_PSD_ds]])/10))*EC_conector_ratio_us)-Calculate[[#This Row],[EC_cancelation_us]]</f>
        <v>-147.67545803748712</v>
      </c>
      <c r="S132" s="2">
        <f>10*LOG10((10^(Calculate[[#This Row],[Rx_echo_ds]]/10))-(10^((Masks[[#This Row],[connector_echo]]+Calculate[[#This Row],[Tx_PSD_us]])/10))*EC_conector_ratio_ds)-Calculate[[#This Row],[EC_cancelation_ds]]</f>
        <v>-147.67545803748712</v>
      </c>
      <c r="T132" s="1">
        <f>(POWER(10,Calculate[[#This Row],[AFE_noise_us]]/10)+POWER(10,Calculate[[#This Row],[Echo_res_us]]/10))</f>
        <v>1.1707867586840527E-14</v>
      </c>
      <c r="U132" s="1">
        <f>(POWER(10,Calculate[[#This Row],[AFE_noise_ds]]/10)+POWER(10,Calculate[[#This Row],[Echo_res_ds]]/10))</f>
        <v>1.1707867586840527E-14</v>
      </c>
      <c r="V132" s="2">
        <f>10*LOG10(Calculate[[#This Row],[Linear_Noise_us]])</f>
        <v>-139.31522197976346</v>
      </c>
      <c r="W132" s="2">
        <f>10*LOG10(Calculate[[#This Row],[Linear_Noise_ds]])</f>
        <v>-139.31522197976346</v>
      </c>
      <c r="X132" s="2">
        <f>Calculate[[#This Row],[Rx_PSD_us]]-Calculate[[#This Row],[Noise_us]]</f>
        <v>13.419524132911832</v>
      </c>
      <c r="Y132" s="2">
        <f>Calculate[[#This Row],[Rx_PSD_ds]]-Calculate[[#This Row],[Noise_ds]]</f>
        <v>13.419524132911832</v>
      </c>
      <c r="Z132" s="2">
        <f>POWER(10,Calculate[[#This Row],[SNRdB_us]]/10)</f>
        <v>21.976190610952415</v>
      </c>
      <c r="AA132" s="2">
        <f>POWER(10,Calculate[[#This Row],[SNRdB_ds]]/10)</f>
        <v>21.976190610952415</v>
      </c>
      <c r="AB132" s="2">
        <f>-(0.002*Calculate[[#This Row],[Freq]]/1000000/2.5+0.68*(Calculate[[#This Row],[Freq]]/1000000/2.5)^0.45)</f>
        <v>-27.111131817862827</v>
      </c>
      <c r="AC132" s="2"/>
    </row>
    <row r="133" spans="1:29" x14ac:dyDescent="0.25">
      <c r="A133" s="33">
        <f t="shared" si="24"/>
        <v>5940000000</v>
      </c>
      <c r="B133" s="1">
        <f>Calculate[[#This Row],[Freq]]-A132</f>
        <v>45000000</v>
      </c>
      <c r="C133" s="1">
        <f>Channels!B133*cable_length</f>
        <v>-23.981255582229743</v>
      </c>
      <c r="D133" s="1">
        <f>Channels!C133*PCB_trace_length</f>
        <v>-2.0077968443102057</v>
      </c>
      <c r="E133" s="1">
        <f>Calculate[[#This Row],[IL_Cable]]+Calculate[[#This Row],[IL_PCB]]</f>
        <v>-25.989052426539949</v>
      </c>
      <c r="F133" s="2">
        <f>Masks!A133</f>
        <v>-100.0785105918421</v>
      </c>
      <c r="G133" s="2">
        <f>Masks!B133</f>
        <v>-100.0785105918421</v>
      </c>
      <c r="H133" s="2">
        <f>Calculate[[#This Row],[Tx_PSD_us]]+Calculate[[#This Row],[IL]]</f>
        <v>-126.06756301838206</v>
      </c>
      <c r="I133" s="2">
        <f>Calculate[[#This Row],[Tx_PSD_ds]]+Calculate[[#This Row],[IL]]</f>
        <v>-126.06756301838206</v>
      </c>
      <c r="J133" s="2">
        <f>Masks[[#This Row],[channel_echo]]</f>
        <v>-9.8309807144976773</v>
      </c>
      <c r="K133" s="2">
        <f>Masks[[#This Row],[channel_echo]]</f>
        <v>-9.8309807144976773</v>
      </c>
      <c r="L133" s="2">
        <f>Calculate[[#This Row],[Echo_transfer_us]]+Calculate[[#This Row],[Tx_PSD_ds]]</f>
        <v>-109.90949130633979</v>
      </c>
      <c r="M133" s="2">
        <f>Calculate[[#This Row],[Echo_transfer_ds]]+Calculate[[#This Row],[Tx_PSD_us]]</f>
        <v>-109.90949130633979</v>
      </c>
      <c r="N133" s="2">
        <f t="shared" si="20"/>
        <v>-140</v>
      </c>
      <c r="O133" s="2">
        <f t="shared" si="21"/>
        <v>-140</v>
      </c>
      <c r="P133" s="2">
        <f t="shared" si="22"/>
        <v>6</v>
      </c>
      <c r="Q133" s="2">
        <f t="shared" si="23"/>
        <v>6</v>
      </c>
      <c r="R133" s="2">
        <f>10*LOG10((10^(Calculate[[#This Row],[Rx_echo_us]]/10))-(10^((Masks[[#This Row],[connector_echo]]+Calculate[[#This Row],[Tx_PSD_ds]])/10))*EC_conector_ratio_us)-Calculate[[#This Row],[EC_cancelation_us]]</f>
        <v>-147.71932433849648</v>
      </c>
      <c r="S133" s="2">
        <f>10*LOG10((10^(Calculate[[#This Row],[Rx_echo_ds]]/10))-(10^((Masks[[#This Row],[connector_echo]]+Calculate[[#This Row],[Tx_PSD_us]])/10))*EC_conector_ratio_ds)-Calculate[[#This Row],[EC_cancelation_ds]]</f>
        <v>-147.71932433849648</v>
      </c>
      <c r="T133" s="1">
        <f>(POWER(10,Calculate[[#This Row],[AFE_noise_us]]/10)+POWER(10,Calculate[[#This Row],[Echo_res_us]]/10))</f>
        <v>1.1690703945510797E-14</v>
      </c>
      <c r="U133" s="1">
        <f>(POWER(10,Calculate[[#This Row],[AFE_noise_ds]]/10)+POWER(10,Calculate[[#This Row],[Echo_res_ds]]/10))</f>
        <v>1.1690703945510797E-14</v>
      </c>
      <c r="V133" s="2">
        <f>10*LOG10(Calculate[[#This Row],[Linear_Noise_us]])</f>
        <v>-139.32159337388509</v>
      </c>
      <c r="W133" s="2">
        <f>10*LOG10(Calculate[[#This Row],[Linear_Noise_ds]])</f>
        <v>-139.32159337388509</v>
      </c>
      <c r="X133" s="2">
        <f>Calculate[[#This Row],[Rx_PSD_us]]-Calculate[[#This Row],[Noise_us]]</f>
        <v>13.254030355503033</v>
      </c>
      <c r="Y133" s="2">
        <f>Calculate[[#This Row],[Rx_PSD_ds]]-Calculate[[#This Row],[Noise_ds]]</f>
        <v>13.254030355503033</v>
      </c>
      <c r="Z133" s="2">
        <f>POWER(10,Calculate[[#This Row],[SNRdB_us]]/10)</f>
        <v>21.154513180292444</v>
      </c>
      <c r="AA133" s="2">
        <f>POWER(10,Calculate[[#This Row],[SNRdB_ds]]/10)</f>
        <v>21.154513180292444</v>
      </c>
      <c r="AB133" s="2">
        <f>-(0.002*Calculate[[#This Row],[Freq]]/1000000/2.5+0.68*(Calculate[[#This Row],[Freq]]/1000000/2.5)^0.45)</f>
        <v>-27.22390079989438</v>
      </c>
      <c r="AC133" s="2"/>
    </row>
    <row r="134" spans="1:29" x14ac:dyDescent="0.25">
      <c r="A134" s="33">
        <f t="shared" si="24"/>
        <v>5985000000</v>
      </c>
      <c r="B134" s="1">
        <f>Calculate[[#This Row],[Freq]]-A133</f>
        <v>45000000</v>
      </c>
      <c r="C134" s="1">
        <f>Channels!B134*cable_length</f>
        <v>-24.09478135220585</v>
      </c>
      <c r="D134" s="1">
        <f>Channels!C134*PCB_trace_length</f>
        <v>-2.0220085041708615</v>
      </c>
      <c r="E134" s="1">
        <f>Calculate[[#This Row],[IL_Cable]]+Calculate[[#This Row],[IL_PCB]]</f>
        <v>-26.116789856376712</v>
      </c>
      <c r="F134" s="2">
        <f>Masks!A134</f>
        <v>-100.12281054387626</v>
      </c>
      <c r="G134" s="2">
        <f>Masks!B134</f>
        <v>-100.12281054387626</v>
      </c>
      <c r="H134" s="2">
        <f>Calculate[[#This Row],[Tx_PSD_us]]+Calculate[[#This Row],[IL]]</f>
        <v>-126.23960040025297</v>
      </c>
      <c r="I134" s="2">
        <f>Calculate[[#This Row],[Tx_PSD_ds]]+Calculate[[#This Row],[IL]]</f>
        <v>-126.23960040025297</v>
      </c>
      <c r="J134" s="2">
        <f>Masks[[#This Row],[channel_echo]]</f>
        <v>-9.799142337090343</v>
      </c>
      <c r="K134" s="2">
        <f>Masks[[#This Row],[channel_echo]]</f>
        <v>-9.799142337090343</v>
      </c>
      <c r="L134" s="2">
        <f>Calculate[[#This Row],[Echo_transfer_us]]+Calculate[[#This Row],[Tx_PSD_ds]]</f>
        <v>-109.9219528809666</v>
      </c>
      <c r="M134" s="2">
        <f>Calculate[[#This Row],[Echo_transfer_ds]]+Calculate[[#This Row],[Tx_PSD_us]]</f>
        <v>-109.9219528809666</v>
      </c>
      <c r="N134" s="2">
        <f t="shared" si="20"/>
        <v>-140</v>
      </c>
      <c r="O134" s="2">
        <f t="shared" si="21"/>
        <v>-140</v>
      </c>
      <c r="P134" s="2">
        <f t="shared" si="22"/>
        <v>6</v>
      </c>
      <c r="Q134" s="2">
        <f t="shared" si="23"/>
        <v>6</v>
      </c>
      <c r="R134" s="2">
        <f>10*LOG10((10^(Calculate[[#This Row],[Rx_echo_us]]/10))-(10^((Masks[[#This Row],[connector_echo]]+Calculate[[#This Row],[Tx_PSD_ds]])/10))*EC_conector_ratio_us)-Calculate[[#This Row],[EC_cancelation_us]]</f>
        <v>-147.76362429055837</v>
      </c>
      <c r="S134" s="2">
        <f>10*LOG10((10^(Calculate[[#This Row],[Rx_echo_ds]]/10))-(10^((Masks[[#This Row],[connector_echo]]+Calculate[[#This Row],[Tx_PSD_us]])/10))*EC_conector_ratio_ds)-Calculate[[#This Row],[EC_cancelation_ds]]</f>
        <v>-147.76362429055837</v>
      </c>
      <c r="T134" s="1">
        <f>(POWER(10,Calculate[[#This Row],[AFE_noise_us]]/10)+POWER(10,Calculate[[#This Row],[Echo_res_us]]/10))</f>
        <v>1.1673545679509096E-14</v>
      </c>
      <c r="U134" s="1">
        <f>(POWER(10,Calculate[[#This Row],[AFE_noise_ds]]/10)+POWER(10,Calculate[[#This Row],[Echo_res_ds]]/10))</f>
        <v>1.1673545679509096E-14</v>
      </c>
      <c r="V134" s="2">
        <f>10*LOG10(Calculate[[#This Row],[Linear_Noise_us]])</f>
        <v>-139.32797212920812</v>
      </c>
      <c r="W134" s="2">
        <f>10*LOG10(Calculate[[#This Row],[Linear_Noise_ds]])</f>
        <v>-139.32797212920812</v>
      </c>
      <c r="X134" s="2">
        <f>Calculate[[#This Row],[Rx_PSD_us]]-Calculate[[#This Row],[Noise_us]]</f>
        <v>13.088371728955153</v>
      </c>
      <c r="Y134" s="2">
        <f>Calculate[[#This Row],[Rx_PSD_ds]]-Calculate[[#This Row],[Noise_ds]]</f>
        <v>13.088371728955153</v>
      </c>
      <c r="Z134" s="2">
        <f>POWER(10,Calculate[[#This Row],[SNRdB_us]]/10)</f>
        <v>20.362784863950314</v>
      </c>
      <c r="AA134" s="2">
        <f>POWER(10,Calculate[[#This Row],[SNRdB_ds]]/10)</f>
        <v>20.362784863950314</v>
      </c>
      <c r="AB134" s="2">
        <f>-(0.002*Calculate[[#This Row],[Freq]]/1000000/2.5+0.68*(Calculate[[#This Row],[Freq]]/1000000/2.5)^0.45)</f>
        <v>-27.336350572755322</v>
      </c>
      <c r="AC134" s="2"/>
    </row>
    <row r="135" spans="1:29" x14ac:dyDescent="0.25">
      <c r="A135" s="33">
        <f t="shared" si="24"/>
        <v>6030000000</v>
      </c>
      <c r="B135" s="1">
        <f>Calculate[[#This Row],[Freq]]-A134</f>
        <v>45000000</v>
      </c>
      <c r="C135" s="1">
        <f>Channels!B135*cable_length</f>
        <v>-24.208052358808398</v>
      </c>
      <c r="D135" s="1">
        <f>Channels!C135*PCB_trace_length</f>
        <v>-2.0362164298086678</v>
      </c>
      <c r="E135" s="1">
        <f>Calculate[[#This Row],[IL_Cable]]+Calculate[[#This Row],[IL_PCB]]</f>
        <v>-26.244268788617067</v>
      </c>
      <c r="F135" s="2">
        <f>Masks!A135</f>
        <v>-100.16754706435857</v>
      </c>
      <c r="G135" s="2">
        <f>Masks!B135</f>
        <v>-100.16754706435857</v>
      </c>
      <c r="H135" s="2">
        <f>Calculate[[#This Row],[Tx_PSD_us]]+Calculate[[#This Row],[IL]]</f>
        <v>-126.41181585297564</v>
      </c>
      <c r="I135" s="2">
        <f>Calculate[[#This Row],[Tx_PSD_ds]]+Calculate[[#This Row],[IL]]</f>
        <v>-126.41181585297564</v>
      </c>
      <c r="J135" s="2">
        <f>Masks[[#This Row],[channel_echo]]</f>
        <v>-9.7675356709940768</v>
      </c>
      <c r="K135" s="2">
        <f>Masks[[#This Row],[channel_echo]]</f>
        <v>-9.7675356709940768</v>
      </c>
      <c r="L135" s="2">
        <f>Calculate[[#This Row],[Echo_transfer_us]]+Calculate[[#This Row],[Tx_PSD_ds]]</f>
        <v>-109.93508273535265</v>
      </c>
      <c r="M135" s="2">
        <f>Calculate[[#This Row],[Echo_transfer_ds]]+Calculate[[#This Row],[Tx_PSD_us]]</f>
        <v>-109.93508273535265</v>
      </c>
      <c r="N135" s="2">
        <f t="shared" si="20"/>
        <v>-140</v>
      </c>
      <c r="O135" s="2">
        <f t="shared" si="21"/>
        <v>-140</v>
      </c>
      <c r="P135" s="2">
        <f t="shared" si="22"/>
        <v>6</v>
      </c>
      <c r="Q135" s="2">
        <f t="shared" si="23"/>
        <v>6</v>
      </c>
      <c r="R135" s="2">
        <f>10*LOG10((10^(Calculate[[#This Row],[Rx_echo_us]]/10))-(10^((Masks[[#This Row],[connector_echo]]+Calculate[[#This Row],[Tx_PSD_ds]])/10))*EC_conector_ratio_us)-Calculate[[#This Row],[EC_cancelation_us]]</f>
        <v>-147.80836081103519</v>
      </c>
      <c r="S135" s="2">
        <f>10*LOG10((10^(Calculate[[#This Row],[Rx_echo_ds]]/10))-(10^((Masks[[#This Row],[connector_echo]]+Calculate[[#This Row],[Tx_PSD_us]])/10))*EC_conector_ratio_ds)-Calculate[[#This Row],[EC_cancelation_ds]]</f>
        <v>-147.80836081103519</v>
      </c>
      <c r="T135" s="1">
        <f>(POWER(10,Calculate[[#This Row],[AFE_noise_us]]/10)+POWER(10,Calculate[[#This Row],[Echo_res_us]]/10))</f>
        <v>1.1656395030615168E-14</v>
      </c>
      <c r="U135" s="1">
        <f>(POWER(10,Calculate[[#This Row],[AFE_noise_ds]]/10)+POWER(10,Calculate[[#This Row],[Echo_res_ds]]/10))</f>
        <v>1.1656395030615168E-14</v>
      </c>
      <c r="V135" s="2">
        <f>10*LOG10(Calculate[[#This Row],[Linear_Noise_us]])</f>
        <v>-139.33435742920526</v>
      </c>
      <c r="W135" s="2">
        <f>10*LOG10(Calculate[[#This Row],[Linear_Noise_ds]])</f>
        <v>-139.33435742920526</v>
      </c>
      <c r="X135" s="2">
        <f>Calculate[[#This Row],[Rx_PSD_us]]-Calculate[[#This Row],[Noise_us]]</f>
        <v>12.922541576229619</v>
      </c>
      <c r="Y135" s="2">
        <f>Calculate[[#This Row],[Rx_PSD_ds]]-Calculate[[#This Row],[Noise_ds]]</f>
        <v>12.922541576229619</v>
      </c>
      <c r="Z135" s="2">
        <f>POWER(10,Calculate[[#This Row],[SNRdB_us]]/10)</f>
        <v>19.599913632118771</v>
      </c>
      <c r="AA135" s="2">
        <f>POWER(10,Calculate[[#This Row],[SNRdB_ds]]/10)</f>
        <v>19.599913632118771</v>
      </c>
      <c r="AB135" s="2">
        <f>-(0.002*Calculate[[#This Row],[Freq]]/1000000/2.5+0.68*(Calculate[[#This Row],[Freq]]/1000000/2.5)^0.45)</f>
        <v>-27.448484848941227</v>
      </c>
      <c r="AC135" s="2"/>
    </row>
    <row r="136" spans="1:29" x14ac:dyDescent="0.25">
      <c r="A136" s="33">
        <f t="shared" si="24"/>
        <v>6075000000</v>
      </c>
      <c r="B136" s="1">
        <f>Calculate[[#This Row],[Freq]]-A135</f>
        <v>45000000</v>
      </c>
      <c r="C136" s="1">
        <f>Channels!B136*cable_length</f>
        <v>-24.321071448605146</v>
      </c>
      <c r="D136" s="1">
        <f>Channels!C136*PCB_trace_length</f>
        <v>-2.050420662947511</v>
      </c>
      <c r="E136" s="1">
        <f>Calculate[[#This Row],[IL_Cable]]+Calculate[[#This Row],[IL_PCB]]</f>
        <v>-26.371492111552655</v>
      </c>
      <c r="F136" s="2">
        <f>Masks!A136</f>
        <v>-100.21272312352988</v>
      </c>
      <c r="G136" s="2">
        <f>Masks!B136</f>
        <v>-100.21272312352988</v>
      </c>
      <c r="H136" s="2">
        <f>Calculate[[#This Row],[Tx_PSD_us]]+Calculate[[#This Row],[IL]]</f>
        <v>-126.58421523508254</v>
      </c>
      <c r="I136" s="2">
        <f>Calculate[[#This Row],[Tx_PSD_ds]]+Calculate[[#This Row],[IL]]</f>
        <v>-126.58421523508254</v>
      </c>
      <c r="J136" s="2">
        <f>Masks[[#This Row],[channel_echo]]</f>
        <v>-9.7361573678947675</v>
      </c>
      <c r="K136" s="2">
        <f>Masks[[#This Row],[channel_echo]]</f>
        <v>-9.7361573678947675</v>
      </c>
      <c r="L136" s="2">
        <f>Calculate[[#This Row],[Echo_transfer_us]]+Calculate[[#This Row],[Tx_PSD_ds]]</f>
        <v>-109.94888049142465</v>
      </c>
      <c r="M136" s="2">
        <f>Calculate[[#This Row],[Echo_transfer_ds]]+Calculate[[#This Row],[Tx_PSD_us]]</f>
        <v>-109.94888049142465</v>
      </c>
      <c r="N136" s="2">
        <f t="shared" si="20"/>
        <v>-140</v>
      </c>
      <c r="O136" s="2">
        <f t="shared" si="21"/>
        <v>-140</v>
      </c>
      <c r="P136" s="2">
        <f t="shared" si="22"/>
        <v>6</v>
      </c>
      <c r="Q136" s="2">
        <f t="shared" si="23"/>
        <v>6</v>
      </c>
      <c r="R136" s="2">
        <f>10*LOG10((10^(Calculate[[#This Row],[Rx_echo_us]]/10))-(10^((Masks[[#This Row],[connector_echo]]+Calculate[[#This Row],[Tx_PSD_ds]])/10))*EC_conector_ratio_us)-Calculate[[#This Row],[EC_cancelation_us]]</f>
        <v>-147.85353687015851</v>
      </c>
      <c r="S136" s="2">
        <f>10*LOG10((10^(Calculate[[#This Row],[Rx_echo_ds]]/10))-(10^((Masks[[#This Row],[connector_echo]]+Calculate[[#This Row],[Tx_PSD_us]])/10))*EC_conector_ratio_ds)-Calculate[[#This Row],[EC_cancelation_ds]]</f>
        <v>-147.85353687015851</v>
      </c>
      <c r="T136" s="1">
        <f>(POWER(10,Calculate[[#This Row],[AFE_noise_us]]/10)+POWER(10,Calculate[[#This Row],[Echo_res_us]]/10))</f>
        <v>1.1639254229896388E-14</v>
      </c>
      <c r="U136" s="1">
        <f>(POWER(10,Calculate[[#This Row],[AFE_noise_ds]]/10)+POWER(10,Calculate[[#This Row],[Echo_res_ds]]/10))</f>
        <v>1.1639254229896388E-14</v>
      </c>
      <c r="V136" s="2">
        <f>10*LOG10(Calculate[[#This Row],[Linear_Noise_us]])</f>
        <v>-139.34074845649769</v>
      </c>
      <c r="W136" s="2">
        <f>10*LOG10(Calculate[[#This Row],[Linear_Noise_ds]])</f>
        <v>-139.34074845649769</v>
      </c>
      <c r="X136" s="2">
        <f>Calculate[[#This Row],[Rx_PSD_us]]-Calculate[[#This Row],[Noise_us]]</f>
        <v>12.756533221415154</v>
      </c>
      <c r="Y136" s="2">
        <f>Calculate[[#This Row],[Rx_PSD_ds]]-Calculate[[#This Row],[Noise_ds]]</f>
        <v>12.756533221415154</v>
      </c>
      <c r="Z136" s="2">
        <f>POWER(10,Calculate[[#This Row],[SNRdB_us]]/10)</f>
        <v>18.864848514188687</v>
      </c>
      <c r="AA136" s="2">
        <f>POWER(10,Calculate[[#This Row],[SNRdB_ds]]/10)</f>
        <v>18.864848514188687</v>
      </c>
      <c r="AB136" s="2">
        <f>-(0.002*Calculate[[#This Row],[Freq]]/1000000/2.5+0.68*(Calculate[[#This Row],[Freq]]/1000000/2.5)^0.45)</f>
        <v>-27.56030727044244</v>
      </c>
      <c r="AC136" s="2"/>
    </row>
    <row r="137" spans="1:29" x14ac:dyDescent="0.25">
      <c r="A137" s="33">
        <f t="shared" si="24"/>
        <v>6120000000</v>
      </c>
      <c r="B137" s="1">
        <f>Calculate[[#This Row],[Freq]]-A136</f>
        <v>45000000</v>
      </c>
      <c r="C137" s="1">
        <f>Channels!B137*cable_length</f>
        <v>-24.433841415545835</v>
      </c>
      <c r="D137" s="1">
        <f>Channels!C137*PCB_trace_length</f>
        <v>-2.0646212445400249</v>
      </c>
      <c r="E137" s="1">
        <f>Calculate[[#This Row],[IL_Cable]]+Calculate[[#This Row],[IL_PCB]]</f>
        <v>-26.49846266008586</v>
      </c>
      <c r="F137" s="2">
        <f>Masks!A137</f>
        <v>-100.25834174558979</v>
      </c>
      <c r="G137" s="2">
        <f>Masks!B137</f>
        <v>-100.25834174558979</v>
      </c>
      <c r="H137" s="2">
        <f>Calculate[[#This Row],[Tx_PSD_us]]+Calculate[[#This Row],[IL]]</f>
        <v>-126.75680440567565</v>
      </c>
      <c r="I137" s="2">
        <f>Calculate[[#This Row],[Tx_PSD_ds]]+Calculate[[#This Row],[IL]]</f>
        <v>-126.75680440567565</v>
      </c>
      <c r="J137" s="2">
        <f>Masks[[#This Row],[channel_echo]]</f>
        <v>-9.7050041515345633</v>
      </c>
      <c r="K137" s="2">
        <f>Masks[[#This Row],[channel_echo]]</f>
        <v>-9.7050041515345633</v>
      </c>
      <c r="L137" s="2">
        <f>Calculate[[#This Row],[Echo_transfer_us]]+Calculate[[#This Row],[Tx_PSD_ds]]</f>
        <v>-109.96334589712436</v>
      </c>
      <c r="M137" s="2">
        <f>Calculate[[#This Row],[Echo_transfer_ds]]+Calculate[[#This Row],[Tx_PSD_us]]</f>
        <v>-109.96334589712436</v>
      </c>
      <c r="N137" s="2">
        <f t="shared" si="20"/>
        <v>-140</v>
      </c>
      <c r="O137" s="2">
        <f t="shared" si="21"/>
        <v>-140</v>
      </c>
      <c r="P137" s="2">
        <f t="shared" si="22"/>
        <v>6</v>
      </c>
      <c r="Q137" s="2">
        <f t="shared" si="23"/>
        <v>6</v>
      </c>
      <c r="R137" s="2">
        <f>10*LOG10((10^(Calculate[[#This Row],[Rx_echo_us]]/10))-(10^((Masks[[#This Row],[connector_echo]]+Calculate[[#This Row],[Tx_PSD_ds]])/10))*EC_conector_ratio_us)-Calculate[[#This Row],[EC_cancelation_us]]</f>
        <v>-147.89915549223377</v>
      </c>
      <c r="S137" s="2">
        <f>10*LOG10((10^(Calculate[[#This Row],[Rx_echo_ds]]/10))-(10^((Masks[[#This Row],[connector_echo]]+Calculate[[#This Row],[Tx_PSD_us]])/10))*EC_conector_ratio_ds)-Calculate[[#This Row],[EC_cancelation_ds]]</f>
        <v>-147.89915549223377</v>
      </c>
      <c r="T137" s="1">
        <f>(POWER(10,Calculate[[#This Row],[AFE_noise_us]]/10)+POWER(10,Calculate[[#This Row],[Echo_res_us]]/10))</f>
        <v>1.1622125497267087E-14</v>
      </c>
      <c r="U137" s="1">
        <f>(POWER(10,Calculate[[#This Row],[AFE_noise_ds]]/10)+POWER(10,Calculate[[#This Row],[Echo_res_ds]]/10))</f>
        <v>1.1622125497267087E-14</v>
      </c>
      <c r="V137" s="2">
        <f>10*LOG10(Calculate[[#This Row],[Linear_Noise_us]])</f>
        <v>-139.34714439301968</v>
      </c>
      <c r="W137" s="2">
        <f>10*LOG10(Calculate[[#This Row],[Linear_Noise_ds]])</f>
        <v>-139.34714439301968</v>
      </c>
      <c r="X137" s="2">
        <f>Calculate[[#This Row],[Rx_PSD_us]]-Calculate[[#This Row],[Noise_us]]</f>
        <v>12.590339987344024</v>
      </c>
      <c r="Y137" s="2">
        <f>Calculate[[#This Row],[Rx_PSD_ds]]-Calculate[[#This Row],[Noise_ds]]</f>
        <v>12.590339987344024</v>
      </c>
      <c r="Z137" s="2">
        <f>POWER(10,Calculate[[#This Row],[SNRdB_us]]/10)</f>
        <v>18.156577959420723</v>
      </c>
      <c r="AA137" s="2">
        <f>POWER(10,Calculate[[#This Row],[SNRdB_ds]]/10)</f>
        <v>18.156577959420723</v>
      </c>
      <c r="AB137" s="2">
        <f>-(0.002*Calculate[[#This Row],[Freq]]/1000000/2.5+0.68*(Calculate[[#This Row],[Freq]]/1000000/2.5)^0.45)</f>
        <v>-27.671821410594365</v>
      </c>
      <c r="AC137" s="2"/>
    </row>
    <row r="138" spans="1:29" x14ac:dyDescent="0.25">
      <c r="A138" s="33">
        <f t="shared" si="24"/>
        <v>6165000000</v>
      </c>
      <c r="B138" s="1">
        <f>Calculate[[#This Row],[Freq]]-A137</f>
        <v>45000000</v>
      </c>
      <c r="C138" s="1">
        <f>Channels!B138*cable_length</f>
        <v>-24.546365002313831</v>
      </c>
      <c r="D138" s="1">
        <f>Channels!C138*PCB_trace_length</f>
        <v>-2.078818214787399</v>
      </c>
      <c r="E138" s="1">
        <f>Calculate[[#This Row],[IL_Cable]]+Calculate[[#This Row],[IL_PCB]]</f>
        <v>-26.625183217101231</v>
      </c>
      <c r="F138" s="2">
        <f>Masks!A138</f>
        <v>-100.30440600985889</v>
      </c>
      <c r="G138" s="2">
        <f>Masks!B138</f>
        <v>-100.30440600985889</v>
      </c>
      <c r="H138" s="2">
        <f>Calculate[[#This Row],[Tx_PSD_us]]+Calculate[[#This Row],[IL]]</f>
        <v>-126.92958922696013</v>
      </c>
      <c r="I138" s="2">
        <f>Calculate[[#This Row],[Tx_PSD_ds]]+Calculate[[#This Row],[IL]]</f>
        <v>-126.92958922696013</v>
      </c>
      <c r="J138" s="2">
        <f>Masks[[#This Row],[channel_echo]]</f>
        <v>-9.6740728156590468</v>
      </c>
      <c r="K138" s="2">
        <f>Masks[[#This Row],[channel_echo]]</f>
        <v>-9.6740728156590468</v>
      </c>
      <c r="L138" s="2">
        <f>Calculate[[#This Row],[Echo_transfer_us]]+Calculate[[#This Row],[Tx_PSD_ds]]</f>
        <v>-109.97847882551794</v>
      </c>
      <c r="M138" s="2">
        <f>Calculate[[#This Row],[Echo_transfer_ds]]+Calculate[[#This Row],[Tx_PSD_us]]</f>
        <v>-109.97847882551794</v>
      </c>
      <c r="N138" s="2">
        <f t="shared" si="20"/>
        <v>-140</v>
      </c>
      <c r="O138" s="2">
        <f t="shared" si="21"/>
        <v>-140</v>
      </c>
      <c r="P138" s="2">
        <f t="shared" si="22"/>
        <v>6</v>
      </c>
      <c r="Q138" s="2">
        <f t="shared" si="23"/>
        <v>6</v>
      </c>
      <c r="R138" s="2">
        <f>10*LOG10((10^(Calculate[[#This Row],[Rx_echo_us]]/10))-(10^((Masks[[#This Row],[connector_echo]]+Calculate[[#This Row],[Tx_PSD_ds]])/10))*EC_conector_ratio_us)-Calculate[[#This Row],[EC_cancelation_us]]</f>
        <v>-147.94521975648615</v>
      </c>
      <c r="S138" s="2">
        <f>10*LOG10((10^(Calculate[[#This Row],[Rx_echo_ds]]/10))-(10^((Masks[[#This Row],[connector_echo]]+Calculate[[#This Row],[Tx_PSD_us]])/10))*EC_conector_ratio_ds)-Calculate[[#This Row],[EC_cancelation_ds]]</f>
        <v>-147.94521975648615</v>
      </c>
      <c r="T138" s="1">
        <f>(POWER(10,Calculate[[#This Row],[AFE_noise_us]]/10)+POWER(10,Calculate[[#This Row],[Echo_res_us]]/10))</f>
        <v>1.1605011041197929E-14</v>
      </c>
      <c r="U138" s="1">
        <f>(POWER(10,Calculate[[#This Row],[AFE_noise_ds]]/10)+POWER(10,Calculate[[#This Row],[Echo_res_ds]]/10))</f>
        <v>1.1605011041197929E-14</v>
      </c>
      <c r="V138" s="2">
        <f>10*LOG10(Calculate[[#This Row],[Linear_Noise_us]])</f>
        <v>-139.35354442012971</v>
      </c>
      <c r="W138" s="2">
        <f>10*LOG10(Calculate[[#This Row],[Linear_Noise_ds]])</f>
        <v>-139.35354442012971</v>
      </c>
      <c r="X138" s="2">
        <f>Calculate[[#This Row],[Rx_PSD_us]]-Calculate[[#This Row],[Noise_us]]</f>
        <v>12.423955193169576</v>
      </c>
      <c r="Y138" s="2">
        <f>Calculate[[#This Row],[Rx_PSD_ds]]-Calculate[[#This Row],[Noise_ds]]</f>
        <v>12.423955193169576</v>
      </c>
      <c r="Z138" s="2">
        <f>POWER(10,Calculate[[#This Row],[SNRdB_us]]/10)</f>
        <v>17.474128268471222</v>
      </c>
      <c r="AA138" s="2">
        <f>POWER(10,Calculate[[#This Row],[SNRdB_ds]]/10)</f>
        <v>17.474128268471222</v>
      </c>
      <c r="AB138" s="2">
        <f>-(0.002*Calculate[[#This Row],[Freq]]/1000000/2.5+0.68*(Calculate[[#This Row],[Freq]]/1000000/2.5)^0.45)</f>
        <v>-27.78303077586601</v>
      </c>
      <c r="AC138" s="2"/>
    </row>
    <row r="139" spans="1:29" x14ac:dyDescent="0.25">
      <c r="A139" s="33">
        <f t="shared" si="24"/>
        <v>6210000000</v>
      </c>
      <c r="B139" s="1">
        <f>Calculate[[#This Row],[Freq]]-A138</f>
        <v>45000000</v>
      </c>
      <c r="C139" s="1">
        <f>Channels!B139*cable_length</f>
        <v>-24.65864490163354</v>
      </c>
      <c r="D139" s="1">
        <f>Channels!C139*PCB_trace_length</f>
        <v>-2.0930116131585459</v>
      </c>
      <c r="E139" s="1">
        <f>Calculate[[#This Row],[IL_Cable]]+Calculate[[#This Row],[IL_PCB]]</f>
        <v>-26.751656514792085</v>
      </c>
      <c r="F139" s="2">
        <f>Masks!A139</f>
        <v>-100.35091905197467</v>
      </c>
      <c r="G139" s="2">
        <f>Masks!B139</f>
        <v>-100.35091905197467</v>
      </c>
      <c r="H139" s="2">
        <f>Calculate[[#This Row],[Tx_PSD_us]]+Calculate[[#This Row],[IL]]</f>
        <v>-127.10257556676676</v>
      </c>
      <c r="I139" s="2">
        <f>Calculate[[#This Row],[Tx_PSD_ds]]+Calculate[[#This Row],[IL]]</f>
        <v>-127.10257556676676</v>
      </c>
      <c r="J139" s="2">
        <f>Masks[[#This Row],[channel_echo]]</f>
        <v>-9.6433602220369625</v>
      </c>
      <c r="K139" s="2">
        <f>Masks[[#This Row],[channel_echo]]</f>
        <v>-9.6433602220369625</v>
      </c>
      <c r="L139" s="2">
        <f>Calculate[[#This Row],[Echo_transfer_us]]+Calculate[[#This Row],[Tx_PSD_ds]]</f>
        <v>-109.99427927401163</v>
      </c>
      <c r="M139" s="2">
        <f>Calculate[[#This Row],[Echo_transfer_ds]]+Calculate[[#This Row],[Tx_PSD_us]]</f>
        <v>-109.99427927401163</v>
      </c>
      <c r="N139" s="2">
        <f t="shared" si="20"/>
        <v>-140</v>
      </c>
      <c r="O139" s="2">
        <f t="shared" si="21"/>
        <v>-140</v>
      </c>
      <c r="P139" s="2">
        <f t="shared" si="22"/>
        <v>6</v>
      </c>
      <c r="Q139" s="2">
        <f t="shared" si="23"/>
        <v>6</v>
      </c>
      <c r="R139" s="2">
        <f>10*LOG10((10^(Calculate[[#This Row],[Rx_echo_us]]/10))-(10^((Masks[[#This Row],[connector_echo]]+Calculate[[#This Row],[Tx_PSD_ds]])/10))*EC_conector_ratio_us)-Calculate[[#This Row],[EC_cancelation_us]]</f>
        <v>-147.99173279864155</v>
      </c>
      <c r="S139" s="2">
        <f>10*LOG10((10^(Calculate[[#This Row],[Rx_echo_ds]]/10))-(10^((Masks[[#This Row],[connector_echo]]+Calculate[[#This Row],[Tx_PSD_us]])/10))*EC_conector_ratio_ds)-Calculate[[#This Row],[EC_cancelation_ds]]</f>
        <v>-147.99173279864155</v>
      </c>
      <c r="T139" s="1">
        <f>(POWER(10,Calculate[[#This Row],[AFE_noise_us]]/10)+POWER(10,Calculate[[#This Row],[Echo_res_us]]/10))</f>
        <v>1.1587913058164852E-14</v>
      </c>
      <c r="U139" s="1">
        <f>(POWER(10,Calculate[[#This Row],[AFE_noise_ds]]/10)+POWER(10,Calculate[[#This Row],[Echo_res_ds]]/10))</f>
        <v>1.1587913058164852E-14</v>
      </c>
      <c r="V139" s="2">
        <f>10*LOG10(Calculate[[#This Row],[Linear_Noise_us]])</f>
        <v>-139.3599477188223</v>
      </c>
      <c r="W139" s="2">
        <f>10*LOG10(Calculate[[#This Row],[Linear_Noise_ds]])</f>
        <v>-139.3599477188223</v>
      </c>
      <c r="X139" s="2">
        <f>Calculate[[#This Row],[Rx_PSD_us]]-Calculate[[#This Row],[Noise_us]]</f>
        <v>12.257372152055538</v>
      </c>
      <c r="Y139" s="2">
        <f>Calculate[[#This Row],[Rx_PSD_ds]]-Calculate[[#This Row],[Noise_ds]]</f>
        <v>12.257372152055538</v>
      </c>
      <c r="Z139" s="2">
        <f>POWER(10,Calculate[[#This Row],[SNRdB_us]]/10)</f>
        <v>16.816562093035049</v>
      </c>
      <c r="AA139" s="2">
        <f>POWER(10,Calculate[[#This Row],[SNRdB_ds]]/10)</f>
        <v>16.816562093035049</v>
      </c>
      <c r="AB139" s="2">
        <f>-(0.002*Calculate[[#This Row],[Freq]]/1000000/2.5+0.68*(Calculate[[#This Row],[Freq]]/1000000/2.5)^0.45)</f>
        <v>-27.893938807589265</v>
      </c>
      <c r="AC139" s="2"/>
    </row>
    <row r="140" spans="1:29" x14ac:dyDescent="0.25">
      <c r="A140" s="33">
        <f t="shared" si="24"/>
        <v>6255000000</v>
      </c>
      <c r="B140" s="1">
        <f>Calculate[[#This Row],[Freq]]-A139</f>
        <v>45000000</v>
      </c>
      <c r="C140" s="1">
        <f>Channels!B140*cable_length</f>
        <v>-24.770683757535203</v>
      </c>
      <c r="D140" s="1">
        <f>Channels!C140*PCB_trace_length</f>
        <v>-2.1072014784086361</v>
      </c>
      <c r="E140" s="1">
        <f>Calculate[[#This Row],[IL_Cable]]+Calculate[[#This Row],[IL_PCB]]</f>
        <v>-26.87788523594384</v>
      </c>
      <c r="F140" s="2">
        <f>Masks!A140</f>
        <v>-100.39788406512194</v>
      </c>
      <c r="G140" s="2">
        <f>Masks!B140</f>
        <v>-100.39788406512194</v>
      </c>
      <c r="H140" s="2">
        <f>Calculate[[#This Row],[Tx_PSD_us]]+Calculate[[#This Row],[IL]]</f>
        <v>-127.27576930106578</v>
      </c>
      <c r="I140" s="2">
        <f>Calculate[[#This Row],[Tx_PSD_ds]]+Calculate[[#This Row],[IL]]</f>
        <v>-127.27576930106578</v>
      </c>
      <c r="J140" s="2">
        <f>Masks[[#This Row],[channel_echo]]</f>
        <v>-9.6128632985495273</v>
      </c>
      <c r="K140" s="2">
        <f>Masks[[#This Row],[channel_echo]]</f>
        <v>-9.6128632985495273</v>
      </c>
      <c r="L140" s="2">
        <f>Calculate[[#This Row],[Echo_transfer_us]]+Calculate[[#This Row],[Tx_PSD_ds]]</f>
        <v>-110.01074736367147</v>
      </c>
      <c r="M140" s="2">
        <f>Calculate[[#This Row],[Echo_transfer_ds]]+Calculate[[#This Row],[Tx_PSD_us]]</f>
        <v>-110.01074736367147</v>
      </c>
      <c r="N140" s="2">
        <f t="shared" si="20"/>
        <v>-140</v>
      </c>
      <c r="O140" s="2">
        <f t="shared" si="21"/>
        <v>-140</v>
      </c>
      <c r="P140" s="2">
        <f t="shared" si="22"/>
        <v>6</v>
      </c>
      <c r="Q140" s="2">
        <f t="shared" si="23"/>
        <v>6</v>
      </c>
      <c r="R140" s="2">
        <f>10*LOG10((10^(Calculate[[#This Row],[Rx_echo_us]]/10))-(10^((Masks[[#This Row],[connector_echo]]+Calculate[[#This Row],[Tx_PSD_ds]])/10))*EC_conector_ratio_us)-Calculate[[#This Row],[EC_cancelation_us]]</f>
        <v>-148.03869781177468</v>
      </c>
      <c r="S140" s="2">
        <f>10*LOG10((10^(Calculate[[#This Row],[Rx_echo_ds]]/10))-(10^((Masks[[#This Row],[connector_echo]]+Calculate[[#This Row],[Tx_PSD_us]])/10))*EC_conector_ratio_ds)-Calculate[[#This Row],[EC_cancelation_ds]]</f>
        <v>-148.03869781177468</v>
      </c>
      <c r="T140" s="1">
        <f>(POWER(10,Calculate[[#This Row],[AFE_noise_us]]/10)+POWER(10,Calculate[[#This Row],[Echo_res_us]]/10))</f>
        <v>1.1570833732388514E-14</v>
      </c>
      <c r="U140" s="1">
        <f>(POWER(10,Calculate[[#This Row],[AFE_noise_ds]]/10)+POWER(10,Calculate[[#This Row],[Echo_res_ds]]/10))</f>
        <v>1.1570833732388514E-14</v>
      </c>
      <c r="V140" s="2">
        <f>10*LOG10(Calculate[[#This Row],[Linear_Noise_us]])</f>
        <v>-139.36635346983391</v>
      </c>
      <c r="W140" s="2">
        <f>10*LOG10(Calculate[[#This Row],[Linear_Noise_ds]])</f>
        <v>-139.36635346983391</v>
      </c>
      <c r="X140" s="2">
        <f>Calculate[[#This Row],[Rx_PSD_us]]-Calculate[[#This Row],[Noise_us]]</f>
        <v>12.090584168768132</v>
      </c>
      <c r="Y140" s="2">
        <f>Calculate[[#This Row],[Rx_PSD_ds]]-Calculate[[#This Row],[Noise_ds]]</f>
        <v>12.090584168768132</v>
      </c>
      <c r="Z140" s="2">
        <f>POWER(10,Calculate[[#This Row],[SNRdB_us]]/10)</f>
        <v>16.182976999519504</v>
      </c>
      <c r="AA140" s="2">
        <f>POWER(10,Calculate[[#This Row],[SNRdB_ds]]/10)</f>
        <v>16.182976999519504</v>
      </c>
      <c r="AB140" s="2">
        <f>-(0.002*Calculate[[#This Row],[Freq]]/1000000/2.5+0.68*(Calculate[[#This Row],[Freq]]/1000000/2.5)^0.45)</f>
        <v>-28.004548883631188</v>
      </c>
      <c r="AC140" s="2"/>
    </row>
    <row r="141" spans="1:29" x14ac:dyDescent="0.25">
      <c r="A141" s="33">
        <f t="shared" si="24"/>
        <v>6300000000</v>
      </c>
      <c r="B141" s="1">
        <f>Calculate[[#This Row],[Freq]]-A140</f>
        <v>45000000</v>
      </c>
      <c r="C141" s="1">
        <f>Channels!B141*cable_length</f>
        <v>-24.882484166578863</v>
      </c>
      <c r="D141" s="1">
        <f>Channels!C141*PCB_trace_length</f>
        <v>-2.1213878485970405</v>
      </c>
      <c r="E141" s="1">
        <f>Calculate[[#This Row],[IL_Cable]]+Calculate[[#This Row],[IL_PCB]]</f>
        <v>-27.003872015175904</v>
      </c>
      <c r="F141" s="2">
        <f>Masks!A141</f>
        <v>-100.44530430129929</v>
      </c>
      <c r="G141" s="2">
        <f>Masks!B141</f>
        <v>-100.44530430129929</v>
      </c>
      <c r="H141" s="2">
        <f>Calculate[[#This Row],[Tx_PSD_us]]+Calculate[[#This Row],[IL]]</f>
        <v>-127.44917631647519</v>
      </c>
      <c r="I141" s="2">
        <f>Calculate[[#This Row],[Tx_PSD_ds]]+Calculate[[#This Row],[IL]]</f>
        <v>-127.44917631647519</v>
      </c>
      <c r="J141" s="2">
        <f>Masks[[#This Row],[channel_echo]]</f>
        <v>-9.5825790373463313</v>
      </c>
      <c r="K141" s="2">
        <f>Masks[[#This Row],[channel_echo]]</f>
        <v>-9.5825790373463313</v>
      </c>
      <c r="L141" s="2">
        <f>Calculate[[#This Row],[Echo_transfer_us]]+Calculate[[#This Row],[Tx_PSD_ds]]</f>
        <v>-110.02788333864562</v>
      </c>
      <c r="M141" s="2">
        <f>Calculate[[#This Row],[Echo_transfer_ds]]+Calculate[[#This Row],[Tx_PSD_us]]</f>
        <v>-110.02788333864562</v>
      </c>
      <c r="N141" s="2">
        <f t="shared" si="20"/>
        <v>-140</v>
      </c>
      <c r="O141" s="2">
        <f t="shared" si="21"/>
        <v>-140</v>
      </c>
      <c r="P141" s="2">
        <f t="shared" si="22"/>
        <v>6</v>
      </c>
      <c r="Q141" s="2">
        <f t="shared" si="23"/>
        <v>6</v>
      </c>
      <c r="R141" s="2">
        <f>10*LOG10((10^(Calculate[[#This Row],[Rx_echo_us]]/10))-(10^((Masks[[#This Row],[connector_echo]]+Calculate[[#This Row],[Tx_PSD_ds]])/10))*EC_conector_ratio_us)-Calculate[[#This Row],[EC_cancelation_us]]</f>
        <v>-148.08611804797235</v>
      </c>
      <c r="S141" s="2">
        <f>10*LOG10((10^(Calculate[[#This Row],[Rx_echo_ds]]/10))-(10^((Masks[[#This Row],[connector_echo]]+Calculate[[#This Row],[Tx_PSD_us]])/10))*EC_conector_ratio_ds)-Calculate[[#This Row],[EC_cancelation_ds]]</f>
        <v>-148.08611804797235</v>
      </c>
      <c r="T141" s="1">
        <f>(POWER(10,Calculate[[#This Row],[AFE_noise_us]]/10)+POWER(10,Calculate[[#This Row],[Echo_res_us]]/10))</f>
        <v>1.1553775235289711E-14</v>
      </c>
      <c r="U141" s="1">
        <f>(POWER(10,Calculate[[#This Row],[AFE_noise_ds]]/10)+POWER(10,Calculate[[#This Row],[Echo_res_ds]]/10))</f>
        <v>1.1553775235289711E-14</v>
      </c>
      <c r="V141" s="2">
        <f>10*LOG10(Calculate[[#This Row],[Linear_Noise_us]])</f>
        <v>-139.37276085385821</v>
      </c>
      <c r="W141" s="2">
        <f>10*LOG10(Calculate[[#This Row],[Linear_Noise_ds]])</f>
        <v>-139.37276085385821</v>
      </c>
      <c r="X141" s="2">
        <f>Calculate[[#This Row],[Rx_PSD_us]]-Calculate[[#This Row],[Noise_us]]</f>
        <v>11.923584537383022</v>
      </c>
      <c r="Y141" s="2">
        <f>Calculate[[#This Row],[Rx_PSD_ds]]-Calculate[[#This Row],[Noise_ds]]</f>
        <v>11.923584537383022</v>
      </c>
      <c r="Z141" s="2">
        <f>POWER(10,Calculate[[#This Row],[SNRdB_us]]/10)</f>
        <v>15.572504094588236</v>
      </c>
      <c r="AA141" s="2">
        <f>POWER(10,Calculate[[#This Row],[SNRdB_ds]]/10)</f>
        <v>15.572504094588236</v>
      </c>
      <c r="AB141" s="2">
        <f>-(0.002*Calculate[[#This Row],[Freq]]/1000000/2.5+0.68*(Calculate[[#This Row],[Freq]]/1000000/2.5)^0.45)</f>
        <v>-28.114864320011783</v>
      </c>
      <c r="AC141" s="2"/>
    </row>
    <row r="142" spans="1:29" x14ac:dyDescent="0.25">
      <c r="A142" s="33">
        <f t="shared" si="24"/>
        <v>6345000000</v>
      </c>
      <c r="B142" s="1">
        <f>Calculate[[#This Row],[Freq]]-A141</f>
        <v>45000000</v>
      </c>
      <c r="C142" s="1">
        <f>Channels!B142*cable_length</f>
        <v>-24.994048679039036</v>
      </c>
      <c r="D142" s="1">
        <f>Channels!C142*PCB_trace_length</f>
        <v>-2.1355707611046961</v>
      </c>
      <c r="E142" s="1">
        <f>Calculate[[#This Row],[IL_Cable]]+Calculate[[#This Row],[IL_PCB]]</f>
        <v>-27.129619440143731</v>
      </c>
      <c r="F142" s="2">
        <f>Masks!A142</f>
        <v>-100.49318307262268</v>
      </c>
      <c r="G142" s="2">
        <f>Masks!B142</f>
        <v>-100.49318307262268</v>
      </c>
      <c r="H142" s="2">
        <f>Calculate[[#This Row],[Tx_PSD_us]]+Calculate[[#This Row],[IL]]</f>
        <v>-127.62280251276641</v>
      </c>
      <c r="I142" s="2">
        <f>Calculate[[#This Row],[Tx_PSD_ds]]+Calculate[[#This Row],[IL]]</f>
        <v>-127.62280251276641</v>
      </c>
      <c r="J142" s="2">
        <f>Masks[[#This Row],[channel_echo]]</f>
        <v>-9.5525044930650846</v>
      </c>
      <c r="K142" s="2">
        <f>Masks[[#This Row],[channel_echo]]</f>
        <v>-9.5525044930650846</v>
      </c>
      <c r="L142" s="2">
        <f>Calculate[[#This Row],[Echo_transfer_us]]+Calculate[[#This Row],[Tx_PSD_ds]]</f>
        <v>-110.04568756568777</v>
      </c>
      <c r="M142" s="2">
        <f>Calculate[[#This Row],[Echo_transfer_ds]]+Calculate[[#This Row],[Tx_PSD_us]]</f>
        <v>-110.04568756568777</v>
      </c>
      <c r="N142" s="2">
        <f t="shared" si="20"/>
        <v>-140</v>
      </c>
      <c r="O142" s="2">
        <f t="shared" si="21"/>
        <v>-140</v>
      </c>
      <c r="P142" s="2">
        <f t="shared" si="22"/>
        <v>6</v>
      </c>
      <c r="Q142" s="2">
        <f t="shared" si="23"/>
        <v>6</v>
      </c>
      <c r="R142" s="2">
        <f>10*LOG10((10^(Calculate[[#This Row],[Rx_echo_us]]/10))-(10^((Masks[[#This Row],[connector_echo]]+Calculate[[#This Row],[Tx_PSD_ds]])/10))*EC_conector_ratio_us)-Calculate[[#This Row],[EC_cancelation_us]]</f>
        <v>-148.13399681928703</v>
      </c>
      <c r="S142" s="2">
        <f>10*LOG10((10^(Calculate[[#This Row],[Rx_echo_ds]]/10))-(10^((Masks[[#This Row],[connector_echo]]+Calculate[[#This Row],[Tx_PSD_us]])/10))*EC_conector_ratio_ds)-Calculate[[#This Row],[EC_cancelation_ds]]</f>
        <v>-148.13399681928703</v>
      </c>
      <c r="T142" s="1">
        <f>(POWER(10,Calculate[[#This Row],[AFE_noise_us]]/10)+POWER(10,Calculate[[#This Row],[Echo_res_us]]/10))</f>
        <v>1.153673972522231E-14</v>
      </c>
      <c r="U142" s="1">
        <f>(POWER(10,Calculate[[#This Row],[AFE_noise_ds]]/10)+POWER(10,Calculate[[#This Row],[Echo_res_ds]]/10))</f>
        <v>1.153673972522231E-14</v>
      </c>
      <c r="V142" s="2">
        <f>10*LOG10(Calculate[[#This Row],[Linear_Noise_us]])</f>
        <v>-139.37916905166034</v>
      </c>
      <c r="W142" s="2">
        <f>10*LOG10(Calculate[[#This Row],[Linear_Noise_ds]])</f>
        <v>-139.37916905166034</v>
      </c>
      <c r="X142" s="2">
        <f>Calculate[[#This Row],[Rx_PSD_us]]-Calculate[[#This Row],[Noise_us]]</f>
        <v>11.756366538893928</v>
      </c>
      <c r="Y142" s="2">
        <f>Calculate[[#This Row],[Rx_PSD_ds]]-Calculate[[#This Row],[Noise_ds]]</f>
        <v>11.756366538893928</v>
      </c>
      <c r="Z142" s="2">
        <f>POWER(10,Calculate[[#This Row],[SNRdB_us]]/10)</f>
        <v>14.984306708856817</v>
      </c>
      <c r="AA142" s="2">
        <f>POWER(10,Calculate[[#This Row],[SNRdB_ds]]/10)</f>
        <v>14.984306708856817</v>
      </c>
      <c r="AB142" s="2">
        <f>-(0.002*Calculate[[#This Row],[Freq]]/1000000/2.5+0.68*(Calculate[[#This Row],[Freq]]/1000000/2.5)^0.45)</f>
        <v>-28.22488837246917</v>
      </c>
      <c r="AC142" s="2"/>
    </row>
    <row r="143" spans="1:29" x14ac:dyDescent="0.25">
      <c r="A143" s="33">
        <f t="shared" si="24"/>
        <v>6390000000</v>
      </c>
      <c r="B143" s="1">
        <f>Calculate[[#This Row],[Freq]]-A142</f>
        <v>45000000</v>
      </c>
      <c r="C143" s="1">
        <f>Channels!B143*cable_length</f>
        <v>-25.105379800051633</v>
      </c>
      <c r="D143" s="1">
        <f>Channels!C143*PCB_trace_length</f>
        <v>-2.1497502526509145</v>
      </c>
      <c r="E143" s="1">
        <f>Calculate[[#This Row],[IL_Cable]]+Calculate[[#This Row],[IL_PCB]]</f>
        <v>-27.255130052702548</v>
      </c>
      <c r="F143" s="2">
        <f>Masks!A143</f>
        <v>-100.54152375266744</v>
      </c>
      <c r="G143" s="2">
        <f>Masks!B143</f>
        <v>-100.54152375266744</v>
      </c>
      <c r="H143" s="2">
        <f>Calculate[[#This Row],[Tx_PSD_us]]+Calculate[[#This Row],[IL]]</f>
        <v>-127.79665380537</v>
      </c>
      <c r="I143" s="2">
        <f>Calculate[[#This Row],[Tx_PSD_ds]]+Calculate[[#This Row],[IL]]</f>
        <v>-127.79665380537</v>
      </c>
      <c r="J143" s="2">
        <f>Masks[[#This Row],[channel_echo]]</f>
        <v>-9.5226367811126096</v>
      </c>
      <c r="K143" s="2">
        <f>Masks[[#This Row],[channel_echo]]</f>
        <v>-9.5226367811126096</v>
      </c>
      <c r="L143" s="2">
        <f>Calculate[[#This Row],[Echo_transfer_us]]+Calculate[[#This Row],[Tx_PSD_ds]]</f>
        <v>-110.06416053378005</v>
      </c>
      <c r="M143" s="2">
        <f>Calculate[[#This Row],[Echo_transfer_ds]]+Calculate[[#This Row],[Tx_PSD_us]]</f>
        <v>-110.06416053378005</v>
      </c>
      <c r="N143" s="2">
        <f t="shared" si="20"/>
        <v>-140</v>
      </c>
      <c r="O143" s="2">
        <f t="shared" si="21"/>
        <v>-140</v>
      </c>
      <c r="P143" s="2">
        <f t="shared" si="22"/>
        <v>6</v>
      </c>
      <c r="Q143" s="2">
        <f t="shared" si="23"/>
        <v>6</v>
      </c>
      <c r="R143" s="2">
        <f>10*LOG10((10^(Calculate[[#This Row],[Rx_echo_us]]/10))-(10^((Masks[[#This Row],[connector_echo]]+Calculate[[#This Row],[Tx_PSD_ds]])/10))*EC_conector_ratio_us)-Calculate[[#This Row],[EC_cancelation_us]]</f>
        <v>-148.18233749930229</v>
      </c>
      <c r="S143" s="2">
        <f>10*LOG10((10^(Calculate[[#This Row],[Rx_echo_ds]]/10))-(10^((Masks[[#This Row],[connector_echo]]+Calculate[[#This Row],[Tx_PSD_us]])/10))*EC_conector_ratio_ds)-Calculate[[#This Row],[EC_cancelation_ds]]</f>
        <v>-148.18233749930229</v>
      </c>
      <c r="T143" s="1">
        <f>(POWER(10,Calculate[[#This Row],[AFE_noise_us]]/10)+POWER(10,Calculate[[#This Row],[Echo_res_us]]/10))</f>
        <v>1.1519729347001332E-14</v>
      </c>
      <c r="U143" s="1">
        <f>(POWER(10,Calculate[[#This Row],[AFE_noise_ds]]/10)+POWER(10,Calculate[[#This Row],[Echo_res_ds]]/10))</f>
        <v>1.1519729347001332E-14</v>
      </c>
      <c r="V143" s="2">
        <f>10*LOG10(Calculate[[#This Row],[Linear_Noise_us]])</f>
        <v>-139.38557724427099</v>
      </c>
      <c r="W143" s="2">
        <f>10*LOG10(Calculate[[#This Row],[Linear_Noise_ds]])</f>
        <v>-139.38557724427099</v>
      </c>
      <c r="X143" s="2">
        <f>Calculate[[#This Row],[Rx_PSD_us]]-Calculate[[#This Row],[Noise_us]]</f>
        <v>11.588923438900991</v>
      </c>
      <c r="Y143" s="2">
        <f>Calculate[[#This Row],[Rx_PSD_ds]]-Calculate[[#This Row],[Noise_ds]]</f>
        <v>11.588923438900991</v>
      </c>
      <c r="Z143" s="2">
        <f>POWER(10,Calculate[[#This Row],[SNRdB_us]]/10)</f>
        <v>14.417579136704576</v>
      </c>
      <c r="AA143" s="2">
        <f>POWER(10,Calculate[[#This Row],[SNRdB_ds]]/10)</f>
        <v>14.417579136704576</v>
      </c>
      <c r="AB143" s="2">
        <f>-(0.002*Calculate[[#This Row],[Freq]]/1000000/2.5+0.68*(Calculate[[#This Row],[Freq]]/1000000/2.5)^0.45)</f>
        <v>-28.33462423797446</v>
      </c>
      <c r="AC143" s="2"/>
    </row>
    <row r="144" spans="1:29" x14ac:dyDescent="0.25">
      <c r="A144" s="33">
        <f t="shared" si="24"/>
        <v>6435000000</v>
      </c>
      <c r="B144" s="1">
        <f>Calculate[[#This Row],[Freq]]-A143</f>
        <v>45000000</v>
      </c>
      <c r="C144" s="1">
        <f>Channels!B144*cable_length</f>
        <v>-25.216479990724597</v>
      </c>
      <c r="D144" s="1">
        <f>Channels!C144*PCB_trace_length</f>
        <v>-2.163926359309662</v>
      </c>
      <c r="E144" s="1">
        <f>Calculate[[#This Row],[IL_Cable]]+Calculate[[#This Row],[IL_PCB]]</f>
        <v>-27.38040635003426</v>
      </c>
      <c r="F144" s="2">
        <f>Masks!A144</f>
        <v>-100.59032977785002</v>
      </c>
      <c r="G144" s="2">
        <f>Masks!B144</f>
        <v>-100.59032977785002</v>
      </c>
      <c r="H144" s="2">
        <f>Calculate[[#This Row],[Tx_PSD_us]]+Calculate[[#This Row],[IL]]</f>
        <v>-127.97073612788428</v>
      </c>
      <c r="I144" s="2">
        <f>Calculate[[#This Row],[Tx_PSD_ds]]+Calculate[[#This Row],[IL]]</f>
        <v>-127.97073612788428</v>
      </c>
      <c r="J144" s="2">
        <f>Masks[[#This Row],[channel_echo]]</f>
        <v>-9.4929730760045103</v>
      </c>
      <c r="K144" s="2">
        <f>Masks[[#This Row],[channel_echo]]</f>
        <v>-9.4929730760045103</v>
      </c>
      <c r="L144" s="2">
        <f>Calculate[[#This Row],[Echo_transfer_us]]+Calculate[[#This Row],[Tx_PSD_ds]]</f>
        <v>-110.08330285385452</v>
      </c>
      <c r="M144" s="2">
        <f>Calculate[[#This Row],[Echo_transfer_ds]]+Calculate[[#This Row],[Tx_PSD_us]]</f>
        <v>-110.08330285385452</v>
      </c>
      <c r="N144" s="2">
        <f t="shared" si="20"/>
        <v>-140</v>
      </c>
      <c r="O144" s="2">
        <f t="shared" si="21"/>
        <v>-140</v>
      </c>
      <c r="P144" s="2">
        <f t="shared" si="22"/>
        <v>6</v>
      </c>
      <c r="Q144" s="2">
        <f t="shared" si="23"/>
        <v>6</v>
      </c>
      <c r="R144" s="2">
        <f>10*LOG10((10^(Calculate[[#This Row],[Rx_echo_us]]/10))-(10^((Masks[[#This Row],[connector_echo]]+Calculate[[#This Row],[Tx_PSD_ds]])/10))*EC_conector_ratio_us)-Calculate[[#This Row],[EC_cancelation_us]]</f>
        <v>-148.23114352450338</v>
      </c>
      <c r="S144" s="2">
        <f>10*LOG10((10^(Calculate[[#This Row],[Rx_echo_ds]]/10))-(10^((Masks[[#This Row],[connector_echo]]+Calculate[[#This Row],[Tx_PSD_us]])/10))*EC_conector_ratio_ds)-Calculate[[#This Row],[EC_cancelation_ds]]</f>
        <v>-148.23114352450338</v>
      </c>
      <c r="T144" s="1">
        <f>(POWER(10,Calculate[[#This Row],[AFE_noise_us]]/10)+POWER(10,Calculate[[#This Row],[Echo_res_us]]/10))</f>
        <v>1.1502746231521456E-14</v>
      </c>
      <c r="U144" s="1">
        <f>(POWER(10,Calculate[[#This Row],[AFE_noise_ds]]/10)+POWER(10,Calculate[[#This Row],[Echo_res_ds]]/10))</f>
        <v>1.1502746231521456E-14</v>
      </c>
      <c r="V144" s="2">
        <f>10*LOG10(Calculate[[#This Row],[Linear_Noise_us]])</f>
        <v>-139.39198461314942</v>
      </c>
      <c r="W144" s="2">
        <f>10*LOG10(Calculate[[#This Row],[Linear_Noise_ds]])</f>
        <v>-139.39198461314942</v>
      </c>
      <c r="X144" s="2">
        <f>Calculate[[#This Row],[Rx_PSD_us]]-Calculate[[#This Row],[Noise_us]]</f>
        <v>11.421248485265139</v>
      </c>
      <c r="Y144" s="2">
        <f>Calculate[[#This Row],[Rx_PSD_ds]]-Calculate[[#This Row],[Noise_ds]]</f>
        <v>11.421248485265139</v>
      </c>
      <c r="Z144" s="2">
        <f>POWER(10,Calculate[[#This Row],[SNRdB_us]]/10)</f>
        <v>13.871545429180552</v>
      </c>
      <c r="AA144" s="2">
        <f>POWER(10,Calculate[[#This Row],[SNRdB_ds]]/10)</f>
        <v>13.871545429180552</v>
      </c>
      <c r="AB144" s="2">
        <f>-(0.002*Calculate[[#This Row],[Freq]]/1000000/2.5+0.68*(Calculate[[#This Row],[Freq]]/1000000/2.5)^0.45)</f>
        <v>-28.444075056198095</v>
      </c>
      <c r="AC144" s="2"/>
    </row>
    <row r="145" spans="1:29" x14ac:dyDescent="0.25">
      <c r="A145" s="33">
        <f t="shared" si="24"/>
        <v>6480000000</v>
      </c>
      <c r="B145" s="1">
        <f>Calculate[[#This Row],[Freq]]-A144</f>
        <v>45000000</v>
      </c>
      <c r="C145" s="1">
        <f>Channels!B145*cable_length</f>
        <v>-25.327351669213702</v>
      </c>
      <c r="D145" s="1">
        <f>Channels!C145*PCB_trace_length</f>
        <v>-2.1780991165253298</v>
      </c>
      <c r="E145" s="1">
        <f>Calculate[[#This Row],[IL_Cable]]+Calculate[[#This Row],[IL_PCB]]</f>
        <v>-27.505450785739033</v>
      </c>
      <c r="F145" s="2">
        <f>Masks!A145</f>
        <v>-100.63960464885101</v>
      </c>
      <c r="G145" s="2">
        <f>Masks!B145</f>
        <v>-100.63960464885101</v>
      </c>
      <c r="H145" s="2">
        <f>Calculate[[#This Row],[Tx_PSD_us]]+Calculate[[#This Row],[IL]]</f>
        <v>-128.14505543459003</v>
      </c>
      <c r="I145" s="2">
        <f>Calculate[[#This Row],[Tx_PSD_ds]]+Calculate[[#This Row],[IL]]</f>
        <v>-128.14505543459003</v>
      </c>
      <c r="J145" s="2">
        <f>Masks[[#This Row],[channel_echo]]</f>
        <v>-9.4635106097611796</v>
      </c>
      <c r="K145" s="2">
        <f>Masks[[#This Row],[channel_echo]]</f>
        <v>-9.4635106097611796</v>
      </c>
      <c r="L145" s="2">
        <f>Calculate[[#This Row],[Echo_transfer_us]]+Calculate[[#This Row],[Tx_PSD_ds]]</f>
        <v>-110.10311525861218</v>
      </c>
      <c r="M145" s="2">
        <f>Calculate[[#This Row],[Echo_transfer_ds]]+Calculate[[#This Row],[Tx_PSD_us]]</f>
        <v>-110.10311525861218</v>
      </c>
      <c r="N145" s="2">
        <f t="shared" si="20"/>
        <v>-140</v>
      </c>
      <c r="O145" s="2">
        <f t="shared" si="21"/>
        <v>-140</v>
      </c>
      <c r="P145" s="2">
        <f t="shared" si="22"/>
        <v>6</v>
      </c>
      <c r="Q145" s="2">
        <f t="shared" si="23"/>
        <v>6</v>
      </c>
      <c r="R145" s="2">
        <f>10*LOG10((10^(Calculate[[#This Row],[Rx_echo_us]]/10))-(10^((Masks[[#This Row],[connector_echo]]+Calculate[[#This Row],[Tx_PSD_ds]])/10))*EC_conector_ratio_us)-Calculate[[#This Row],[EC_cancelation_us]]</f>
        <v>-148.28041839550608</v>
      </c>
      <c r="S145" s="2">
        <f>10*LOG10((10^(Calculate[[#This Row],[Rx_echo_ds]]/10))-(10^((Masks[[#This Row],[connector_echo]]+Calculate[[#This Row],[Tx_PSD_us]])/10))*EC_conector_ratio_ds)-Calculate[[#This Row],[EC_cancelation_ds]]</f>
        <v>-148.28041839550608</v>
      </c>
      <c r="T145" s="1">
        <f>(POWER(10,Calculate[[#This Row],[AFE_noise_us]]/10)+POWER(10,Calculate[[#This Row],[Echo_res_us]]/10))</f>
        <v>1.1485792495442063E-14</v>
      </c>
      <c r="U145" s="1">
        <f>(POWER(10,Calculate[[#This Row],[AFE_noise_ds]]/10)+POWER(10,Calculate[[#This Row],[Echo_res_ds]]/10))</f>
        <v>1.1485792495442063E-14</v>
      </c>
      <c r="V145" s="2">
        <f>10*LOG10(Calculate[[#This Row],[Linear_Noise_us]])</f>
        <v>-139.39839034032437</v>
      </c>
      <c r="W145" s="2">
        <f>10*LOG10(Calculate[[#This Row],[Linear_Noise_ds]])</f>
        <v>-139.39839034032437</v>
      </c>
      <c r="X145" s="2">
        <f>Calculate[[#This Row],[Rx_PSD_us]]-Calculate[[#This Row],[Noise_us]]</f>
        <v>11.253334905734334</v>
      </c>
      <c r="Y145" s="2">
        <f>Calculate[[#This Row],[Rx_PSD_ds]]-Calculate[[#This Row],[Noise_ds]]</f>
        <v>11.253334905734334</v>
      </c>
      <c r="Z145" s="2">
        <f>POWER(10,Calculate[[#This Row],[SNRdB_us]]/10)</f>
        <v>13.345458237599154</v>
      </c>
      <c r="AA145" s="2">
        <f>POWER(10,Calculate[[#This Row],[SNRdB_ds]]/10)</f>
        <v>13.345458237599154</v>
      </c>
      <c r="AB145" s="2">
        <f>-(0.002*Calculate[[#This Row],[Freq]]/1000000/2.5+0.68*(Calculate[[#This Row],[Freq]]/1000000/2.5)^0.45)</f>
        <v>-28.553243910929666</v>
      </c>
      <c r="AC145" s="2"/>
    </row>
    <row r="146" spans="1:29" x14ac:dyDescent="0.25">
      <c r="A146" s="33">
        <f t="shared" si="24"/>
        <v>6525000000</v>
      </c>
      <c r="B146" s="1">
        <f>Calculate[[#This Row],[Freq]]-A145</f>
        <v>45000000</v>
      </c>
      <c r="C146" s="1">
        <f>Channels!B146*cable_length</f>
        <v>-25.437997211764706</v>
      </c>
      <c r="D146" s="1">
        <f>Channels!C146*PCB_trace_length</f>
        <v>-2.1922685591280082</v>
      </c>
      <c r="E146" s="1">
        <f>Calculate[[#This Row],[IL_Cable]]+Calculate[[#This Row],[IL_PCB]]</f>
        <v>-27.630265770892713</v>
      </c>
      <c r="F146" s="2">
        <f>Masks!A146</f>
        <v>-100.68935193208073</v>
      </c>
      <c r="G146" s="2">
        <f>Masks!B146</f>
        <v>-100.68935193208073</v>
      </c>
      <c r="H146" s="2">
        <f>Calculate[[#This Row],[Tx_PSD_us]]+Calculate[[#This Row],[IL]]</f>
        <v>-128.31961770297343</v>
      </c>
      <c r="I146" s="2">
        <f>Calculate[[#This Row],[Tx_PSD_ds]]+Calculate[[#This Row],[IL]]</f>
        <v>-128.31961770297343</v>
      </c>
      <c r="J146" s="2">
        <f>Masks[[#This Row],[channel_echo]]</f>
        <v>-9.4342466703578438</v>
      </c>
      <c r="K146" s="2">
        <f>Masks[[#This Row],[channel_echo]]</f>
        <v>-9.4342466703578438</v>
      </c>
      <c r="L146" s="2">
        <f>Calculate[[#This Row],[Echo_transfer_us]]+Calculate[[#This Row],[Tx_PSD_ds]]</f>
        <v>-110.12359860243856</v>
      </c>
      <c r="M146" s="2">
        <f>Calculate[[#This Row],[Echo_transfer_ds]]+Calculate[[#This Row],[Tx_PSD_us]]</f>
        <v>-110.12359860243856</v>
      </c>
      <c r="N146" s="2">
        <f t="shared" si="20"/>
        <v>-140</v>
      </c>
      <c r="O146" s="2">
        <f t="shared" si="21"/>
        <v>-140</v>
      </c>
      <c r="P146" s="2">
        <f t="shared" si="22"/>
        <v>6</v>
      </c>
      <c r="Q146" s="2">
        <f t="shared" si="23"/>
        <v>6</v>
      </c>
      <c r="R146" s="2">
        <f>10*LOG10((10^(Calculate[[#This Row],[Rx_echo_us]]/10))-(10^((Masks[[#This Row],[connector_echo]]+Calculate[[#This Row],[Tx_PSD_ds]])/10))*EC_conector_ratio_us)-Calculate[[#This Row],[EC_cancelation_us]]</f>
        <v>-148.33016567872298</v>
      </c>
      <c r="S146" s="2">
        <f>10*LOG10((10^(Calculate[[#This Row],[Rx_echo_ds]]/10))-(10^((Masks[[#This Row],[connector_echo]]+Calculate[[#This Row],[Tx_PSD_us]])/10))*EC_conector_ratio_ds)-Calculate[[#This Row],[EC_cancelation_ds]]</f>
        <v>-148.33016567872298</v>
      </c>
      <c r="T146" s="1">
        <f>(POWER(10,Calculate[[#This Row],[AFE_noise_us]]/10)+POWER(10,Calculate[[#This Row],[Echo_res_us]]/10))</f>
        <v>1.1468870240738519E-14</v>
      </c>
      <c r="U146" s="1">
        <f>(POWER(10,Calculate[[#This Row],[AFE_noise_ds]]/10)+POWER(10,Calculate[[#This Row],[Echo_res_ds]]/10))</f>
        <v>1.1468870240738519E-14</v>
      </c>
      <c r="V146" s="2">
        <f>10*LOG10(Calculate[[#This Row],[Linear_Noise_us]])</f>
        <v>-139.40479360858836</v>
      </c>
      <c r="W146" s="2">
        <f>10*LOG10(Calculate[[#This Row],[Linear_Noise_ds]])</f>
        <v>-139.40479360858836</v>
      </c>
      <c r="X146" s="2">
        <f>Calculate[[#This Row],[Rx_PSD_us]]-Calculate[[#This Row],[Noise_us]]</f>
        <v>11.085175905614932</v>
      </c>
      <c r="Y146" s="2">
        <f>Calculate[[#This Row],[Rx_PSD_ds]]-Calculate[[#This Row],[Noise_ds]]</f>
        <v>11.085175905614932</v>
      </c>
      <c r="Z146" s="2">
        <f>POWER(10,Calculate[[#This Row],[SNRdB_us]]/10)</f>
        <v>12.838597705733875</v>
      </c>
      <c r="AA146" s="2">
        <f>POWER(10,Calculate[[#This Row],[SNRdB_ds]]/10)</f>
        <v>12.838597705733875</v>
      </c>
      <c r="AB146" s="2">
        <f>-(0.002*Calculate[[#This Row],[Freq]]/1000000/2.5+0.68*(Calculate[[#This Row],[Freq]]/1000000/2.5)^0.45)</f>
        <v>-28.662133831452955</v>
      </c>
      <c r="AC146" s="2"/>
    </row>
    <row r="147" spans="1:29" x14ac:dyDescent="0.25">
      <c r="A147" s="33">
        <f t="shared" si="24"/>
        <v>6570000000</v>
      </c>
      <c r="B147" s="1">
        <f>Calculate[[#This Row],[Freq]]-A146</f>
        <v>45000000</v>
      </c>
      <c r="C147" s="1">
        <f>Channels!B147*cable_length</f>
        <v>-25.548418953723271</v>
      </c>
      <c r="D147" s="1">
        <f>Channels!C147*PCB_trace_length</f>
        <v>-2.2064347213482884</v>
      </c>
      <c r="E147" s="1">
        <f>Calculate[[#This Row],[IL_Cable]]+Calculate[[#This Row],[IL_PCB]]</f>
        <v>-27.754853675071558</v>
      </c>
      <c r="F147" s="2">
        <f>Masks!A147</f>
        <v>-100.73957526118913</v>
      </c>
      <c r="G147" s="2">
        <f>Masks!B147</f>
        <v>-100.73957526118913</v>
      </c>
      <c r="H147" s="2">
        <f>Calculate[[#This Row],[Tx_PSD_us]]+Calculate[[#This Row],[IL]]</f>
        <v>-128.4944289362607</v>
      </c>
      <c r="I147" s="2">
        <f>Calculate[[#This Row],[Tx_PSD_ds]]+Calculate[[#This Row],[IL]]</f>
        <v>-128.4944289362607</v>
      </c>
      <c r="J147" s="2">
        <f>Masks[[#This Row],[channel_echo]]</f>
        <v>-9.4051786002264866</v>
      </c>
      <c r="K147" s="2">
        <f>Masks[[#This Row],[channel_echo]]</f>
        <v>-9.4051786002264866</v>
      </c>
      <c r="L147" s="2">
        <f>Calculate[[#This Row],[Echo_transfer_us]]+Calculate[[#This Row],[Tx_PSD_ds]]</f>
        <v>-110.14475386141562</v>
      </c>
      <c r="M147" s="2">
        <f>Calculate[[#This Row],[Echo_transfer_ds]]+Calculate[[#This Row],[Tx_PSD_us]]</f>
        <v>-110.14475386141562</v>
      </c>
      <c r="N147" s="2">
        <f t="shared" si="20"/>
        <v>-140</v>
      </c>
      <c r="O147" s="2">
        <f t="shared" si="21"/>
        <v>-140</v>
      </c>
      <c r="P147" s="2">
        <f t="shared" si="22"/>
        <v>6</v>
      </c>
      <c r="Q147" s="2">
        <f t="shared" si="23"/>
        <v>6</v>
      </c>
      <c r="R147" s="2">
        <f>10*LOG10((10^(Calculate[[#This Row],[Rx_echo_us]]/10))-(10^((Masks[[#This Row],[connector_echo]]+Calculate[[#This Row],[Tx_PSD_ds]])/10))*EC_conector_ratio_us)-Calculate[[#This Row],[EC_cancelation_us]]</f>
        <v>-148.38038900785477</v>
      </c>
      <c r="S147" s="2">
        <f>10*LOG10((10^(Calculate[[#This Row],[Rx_echo_ds]]/10))-(10^((Masks[[#This Row],[connector_echo]]+Calculate[[#This Row],[Tx_PSD_us]])/10))*EC_conector_ratio_ds)-Calculate[[#This Row],[EC_cancelation_ds]]</f>
        <v>-148.38038900785477</v>
      </c>
      <c r="T147" s="1">
        <f>(POWER(10,Calculate[[#This Row],[AFE_noise_us]]/10)+POWER(10,Calculate[[#This Row],[Echo_res_us]]/10))</f>
        <v>1.145198155433559E-14</v>
      </c>
      <c r="U147" s="1">
        <f>(POWER(10,Calculate[[#This Row],[AFE_noise_ds]]/10)+POWER(10,Calculate[[#This Row],[Echo_res_ds]]/10))</f>
        <v>1.145198155433559E-14</v>
      </c>
      <c r="V147" s="2">
        <f>10*LOG10(Calculate[[#This Row],[Linear_Noise_us]])</f>
        <v>-139.41119360166394</v>
      </c>
      <c r="W147" s="2">
        <f>10*LOG10(Calculate[[#This Row],[Linear_Noise_ds]])</f>
        <v>-139.41119360166394</v>
      </c>
      <c r="X147" s="2">
        <f>Calculate[[#This Row],[Rx_PSD_us]]-Calculate[[#This Row],[Noise_us]]</f>
        <v>10.916764665403235</v>
      </c>
      <c r="Y147" s="2">
        <f>Calculate[[#This Row],[Rx_PSD_ds]]-Calculate[[#This Row],[Noise_ds]]</f>
        <v>10.916764665403235</v>
      </c>
      <c r="Z147" s="2">
        <f>POWER(10,Calculate[[#This Row],[SNRdB_us]]/10)</f>
        <v>12.35027040811438</v>
      </c>
      <c r="AA147" s="2">
        <f>POWER(10,Calculate[[#This Row],[SNRdB_ds]]/10)</f>
        <v>12.35027040811438</v>
      </c>
      <c r="AB147" s="2">
        <f>-(0.002*Calculate[[#This Row],[Freq]]/1000000/2.5+0.68*(Calculate[[#This Row],[Freq]]/1000000/2.5)^0.45)</f>
        <v>-28.770747793877895</v>
      </c>
      <c r="AC147" s="2"/>
    </row>
    <row r="148" spans="1:29" x14ac:dyDescent="0.25">
      <c r="A148" s="33">
        <f t="shared" si="24"/>
        <v>6615000000</v>
      </c>
      <c r="B148" s="1">
        <f>Calculate[[#This Row],[Freq]]-A147</f>
        <v>45000000</v>
      </c>
      <c r="C148" s="1">
        <f>Channels!B148*cable_length</f>
        <v>-25.658619190513797</v>
      </c>
      <c r="D148" s="1">
        <f>Channels!C148*PCB_trace_length</f>
        <v>-2.2205976368316129</v>
      </c>
      <c r="E148" s="1">
        <f>Calculate[[#This Row],[IL_Cable]]+Calculate[[#This Row],[IL_PCB]]</f>
        <v>-27.87921682734541</v>
      </c>
      <c r="F148" s="2">
        <f>Masks!A148</f>
        <v>-100.79027833862129</v>
      </c>
      <c r="G148" s="2">
        <f>Masks!B148</f>
        <v>-100.79027833862129</v>
      </c>
      <c r="H148" s="2">
        <f>Calculate[[#This Row],[Tx_PSD_us]]+Calculate[[#This Row],[IL]]</f>
        <v>-128.66949516596671</v>
      </c>
      <c r="I148" s="2">
        <f>Calculate[[#This Row],[Tx_PSD_ds]]+Calculate[[#This Row],[IL]]</f>
        <v>-128.66949516596671</v>
      </c>
      <c r="J148" s="2">
        <f>Masks[[#This Row],[channel_echo]]</f>
        <v>-9.3763037948075549</v>
      </c>
      <c r="K148" s="2">
        <f>Masks[[#This Row],[channel_echo]]</f>
        <v>-9.3763037948075549</v>
      </c>
      <c r="L148" s="2">
        <f>Calculate[[#This Row],[Echo_transfer_us]]+Calculate[[#This Row],[Tx_PSD_ds]]</f>
        <v>-110.16658213342885</v>
      </c>
      <c r="M148" s="2">
        <f>Calculate[[#This Row],[Echo_transfer_ds]]+Calculate[[#This Row],[Tx_PSD_us]]</f>
        <v>-110.16658213342885</v>
      </c>
      <c r="N148" s="2">
        <f t="shared" si="20"/>
        <v>-140</v>
      </c>
      <c r="O148" s="2">
        <f t="shared" si="21"/>
        <v>-140</v>
      </c>
      <c r="P148" s="2">
        <f t="shared" si="22"/>
        <v>6</v>
      </c>
      <c r="Q148" s="2">
        <f t="shared" si="23"/>
        <v>6</v>
      </c>
      <c r="R148" s="2">
        <f>10*LOG10((10^(Calculate[[#This Row],[Rx_echo_us]]/10))-(10^((Masks[[#This Row],[connector_echo]]+Calculate[[#This Row],[Tx_PSD_ds]])/10))*EC_conector_ratio_us)-Calculate[[#This Row],[EC_cancelation_us]]</f>
        <v>-148.43109208525001</v>
      </c>
      <c r="S148" s="2">
        <f>10*LOG10((10^(Calculate[[#This Row],[Rx_echo_ds]]/10))-(10^((Masks[[#This Row],[connector_echo]]+Calculate[[#This Row],[Tx_PSD_us]])/10))*EC_conector_ratio_ds)-Calculate[[#This Row],[EC_cancelation_ds]]</f>
        <v>-148.43109208525001</v>
      </c>
      <c r="T148" s="1">
        <f>(POWER(10,Calculate[[#This Row],[AFE_noise_us]]/10)+POWER(10,Calculate[[#This Row],[Echo_res_us]]/10))</f>
        <v>1.1435128507803585E-14</v>
      </c>
      <c r="U148" s="1">
        <f>(POWER(10,Calculate[[#This Row],[AFE_noise_ds]]/10)+POWER(10,Calculate[[#This Row],[Echo_res_ds]]/10))</f>
        <v>1.1435128507803585E-14</v>
      </c>
      <c r="V148" s="2">
        <f>10*LOG10(Calculate[[#This Row],[Linear_Noise_us]])</f>
        <v>-139.417589504349</v>
      </c>
      <c r="W148" s="2">
        <f>10*LOG10(Calculate[[#This Row],[Linear_Noise_ds]])</f>
        <v>-139.417589504349</v>
      </c>
      <c r="X148" s="2">
        <f>Calculate[[#This Row],[Rx_PSD_us]]-Calculate[[#This Row],[Noise_us]]</f>
        <v>10.748094338382288</v>
      </c>
      <c r="Y148" s="2">
        <f>Calculate[[#This Row],[Rx_PSD_ds]]-Calculate[[#This Row],[Noise_ds]]</f>
        <v>10.748094338382288</v>
      </c>
      <c r="Z148" s="2">
        <f>POWER(10,Calculate[[#This Row],[SNRdB_us]]/10)</f>
        <v>11.879808332367796</v>
      </c>
      <c r="AA148" s="2">
        <f>POWER(10,Calculate[[#This Row],[SNRdB_ds]]/10)</f>
        <v>11.879808332367796</v>
      </c>
      <c r="AB148" s="2">
        <f>-(0.002*Calculate[[#This Row],[Freq]]/1000000/2.5+0.68*(Calculate[[#This Row],[Freq]]/1000000/2.5)^0.45)</f>
        <v>-28.879088722431085</v>
      </c>
      <c r="AC148" s="2"/>
    </row>
    <row r="149" spans="1:29" x14ac:dyDescent="0.25">
      <c r="A149" s="33">
        <f t="shared" si="24"/>
        <v>6660000000</v>
      </c>
      <c r="B149" s="1">
        <f>Calculate[[#This Row],[Freq]]-A148</f>
        <v>45000000</v>
      </c>
      <c r="C149" s="1">
        <f>Channels!B149*cable_length</f>
        <v>-25.768600178588343</v>
      </c>
      <c r="D149" s="1">
        <f>Channels!C149*PCB_trace_length</f>
        <v>-2.2347573386521815</v>
      </c>
      <c r="E149" s="1">
        <f>Calculate[[#This Row],[IL_Cable]]+Calculate[[#This Row],[IL_PCB]]</f>
        <v>-28.003357517240524</v>
      </c>
      <c r="F149" s="2">
        <f>Masks!A149</f>
        <v>-100.84146493722047</v>
      </c>
      <c r="G149" s="2">
        <f>Masks!B149</f>
        <v>-100.84146493722047</v>
      </c>
      <c r="H149" s="2">
        <f>Calculate[[#This Row],[Tx_PSD_us]]+Calculate[[#This Row],[IL]]</f>
        <v>-128.844822454461</v>
      </c>
      <c r="I149" s="2">
        <f>Calculate[[#This Row],[Tx_PSD_ds]]+Calculate[[#This Row],[IL]]</f>
        <v>-128.844822454461</v>
      </c>
      <c r="J149" s="2">
        <f>Masks[[#This Row],[channel_echo]]</f>
        <v>-9.3476197011495152</v>
      </c>
      <c r="K149" s="2">
        <f>Masks[[#This Row],[channel_echo]]</f>
        <v>-9.3476197011495152</v>
      </c>
      <c r="L149" s="2">
        <f>Calculate[[#This Row],[Echo_transfer_us]]+Calculate[[#This Row],[Tx_PSD_ds]]</f>
        <v>-110.18908463836998</v>
      </c>
      <c r="M149" s="2">
        <f>Calculate[[#This Row],[Echo_transfer_ds]]+Calculate[[#This Row],[Tx_PSD_us]]</f>
        <v>-110.18908463836998</v>
      </c>
      <c r="N149" s="2">
        <f t="shared" si="20"/>
        <v>-140</v>
      </c>
      <c r="O149" s="2">
        <f t="shared" si="21"/>
        <v>-140</v>
      </c>
      <c r="P149" s="2">
        <f t="shared" si="22"/>
        <v>6</v>
      </c>
      <c r="Q149" s="2">
        <f t="shared" si="23"/>
        <v>6</v>
      </c>
      <c r="R149" s="2">
        <f>10*LOG10((10^(Calculate[[#This Row],[Rx_echo_us]]/10))-(10^((Masks[[#This Row],[connector_echo]]+Calculate[[#This Row],[Tx_PSD_ds]])/10))*EC_conector_ratio_us)-Calculate[[#This Row],[EC_cancelation_us]]</f>
        <v>-148.48227868389756</v>
      </c>
      <c r="S149" s="2">
        <f>10*LOG10((10^(Calculate[[#This Row],[Rx_echo_ds]]/10))-(10^((Masks[[#This Row],[connector_echo]]+Calculate[[#This Row],[Tx_PSD_us]])/10))*EC_conector_ratio_ds)-Calculate[[#This Row],[EC_cancelation_ds]]</f>
        <v>-148.48227868389756</v>
      </c>
      <c r="T149" s="1">
        <f>(POWER(10,Calculate[[#This Row],[AFE_noise_us]]/10)+POWER(10,Calculate[[#This Row],[Echo_res_us]]/10))</f>
        <v>1.1418313156863176E-14</v>
      </c>
      <c r="U149" s="1">
        <f>(POWER(10,Calculate[[#This Row],[AFE_noise_ds]]/10)+POWER(10,Calculate[[#This Row],[Echo_res_ds]]/10))</f>
        <v>1.1418313156863176E-14</v>
      </c>
      <c r="V149" s="2">
        <f>10*LOG10(Calculate[[#This Row],[Linear_Noise_us]])</f>
        <v>-139.42398050273755</v>
      </c>
      <c r="W149" s="2">
        <f>10*LOG10(Calculate[[#This Row],[Linear_Noise_ds]])</f>
        <v>-139.42398050273755</v>
      </c>
      <c r="X149" s="2">
        <f>Calculate[[#This Row],[Rx_PSD_us]]-Calculate[[#This Row],[Noise_us]]</f>
        <v>10.579158048276554</v>
      </c>
      <c r="Y149" s="2">
        <f>Calculate[[#This Row],[Rx_PSD_ds]]-Calculate[[#This Row],[Noise_ds]]</f>
        <v>10.579158048276554</v>
      </c>
      <c r="Z149" s="2">
        <f>POWER(10,Calculate[[#This Row],[SNRdB_us]]/10)</f>
        <v>11.426567903870918</v>
      </c>
      <c r="AA149" s="2">
        <f>POWER(10,Calculate[[#This Row],[SNRdB_ds]]/10)</f>
        <v>11.426567903870918</v>
      </c>
      <c r="AB149" s="2">
        <f>-(0.002*Calculate[[#This Row],[Freq]]/1000000/2.5+0.68*(Calculate[[#This Row],[Freq]]/1000000/2.5)^0.45)</f>
        <v>-28.987159490706428</v>
      </c>
      <c r="AC149" s="2"/>
    </row>
    <row r="150" spans="1:29" x14ac:dyDescent="0.25">
      <c r="A150" s="33">
        <f t="shared" si="24"/>
        <v>6705000000</v>
      </c>
      <c r="B150" s="1">
        <f>Calculate[[#This Row],[Freq]]-A149</f>
        <v>45000000</v>
      </c>
      <c r="C150" s="1">
        <f>Channels!B150*cable_length</f>
        <v>-25.878364136346736</v>
      </c>
      <c r="D150" s="1">
        <f>Channels!C150*PCB_trace_length</f>
        <v>-2.2489138593264397</v>
      </c>
      <c r="E150" s="1">
        <f>Calculate[[#This Row],[IL_Cable]]+Calculate[[#This Row],[IL_PCB]]</f>
        <v>-28.127277995673175</v>
      </c>
      <c r="F150" s="2">
        <f>Masks!A150</f>
        <v>-100.89313890188022</v>
      </c>
      <c r="G150" s="2">
        <f>Masks!B150</f>
        <v>-100.89313890188022</v>
      </c>
      <c r="H150" s="2">
        <f>Calculate[[#This Row],[Tx_PSD_us]]+Calculate[[#This Row],[IL]]</f>
        <v>-129.02041689755339</v>
      </c>
      <c r="I150" s="2">
        <f>Calculate[[#This Row],[Tx_PSD_ds]]+Calculate[[#This Row],[IL]]</f>
        <v>-129.02041689755339</v>
      </c>
      <c r="J150" s="2">
        <f>Masks[[#This Row],[channel_echo]]</f>
        <v>-9.31912381655434</v>
      </c>
      <c r="K150" s="2">
        <f>Masks[[#This Row],[channel_echo]]</f>
        <v>-9.31912381655434</v>
      </c>
      <c r="L150" s="2">
        <f>Calculate[[#This Row],[Echo_transfer_us]]+Calculate[[#This Row],[Tx_PSD_ds]]</f>
        <v>-110.21226271843456</v>
      </c>
      <c r="M150" s="2">
        <f>Calculate[[#This Row],[Echo_transfer_ds]]+Calculate[[#This Row],[Tx_PSD_us]]</f>
        <v>-110.21226271843456</v>
      </c>
      <c r="N150" s="2">
        <f t="shared" si="20"/>
        <v>-140</v>
      </c>
      <c r="O150" s="2">
        <f t="shared" si="21"/>
        <v>-140</v>
      </c>
      <c r="P150" s="2">
        <f t="shared" si="22"/>
        <v>6</v>
      </c>
      <c r="Q150" s="2">
        <f t="shared" si="23"/>
        <v>6</v>
      </c>
      <c r="R150" s="2">
        <f>10*LOG10((10^(Calculate[[#This Row],[Rx_echo_us]]/10))-(10^((Masks[[#This Row],[connector_echo]]+Calculate[[#This Row],[Tx_PSD_ds]])/10))*EC_conector_ratio_us)-Calculate[[#This Row],[EC_cancelation_us]]</f>
        <v>-148.53395264854183</v>
      </c>
      <c r="S150" s="2">
        <f>10*LOG10((10^(Calculate[[#This Row],[Rx_echo_ds]]/10))-(10^((Masks[[#This Row],[connector_echo]]+Calculate[[#This Row],[Tx_PSD_us]])/10))*EC_conector_ratio_ds)-Calculate[[#This Row],[EC_cancelation_ds]]</f>
        <v>-148.53395264854183</v>
      </c>
      <c r="T150" s="1">
        <f>(POWER(10,Calculate[[#This Row],[AFE_noise_us]]/10)+POWER(10,Calculate[[#This Row],[Echo_res_us]]/10))</f>
        <v>1.1401537541202863E-14</v>
      </c>
      <c r="U150" s="1">
        <f>(POWER(10,Calculate[[#This Row],[AFE_noise_ds]]/10)+POWER(10,Calculate[[#This Row],[Echo_res_ds]]/10))</f>
        <v>1.1401537541202863E-14</v>
      </c>
      <c r="V150" s="2">
        <f>10*LOG10(Calculate[[#This Row],[Linear_Noise_us]])</f>
        <v>-139.43036578432472</v>
      </c>
      <c r="W150" s="2">
        <f>10*LOG10(Calculate[[#This Row],[Linear_Noise_ds]])</f>
        <v>-139.43036578432472</v>
      </c>
      <c r="X150" s="2">
        <f>Calculate[[#This Row],[Rx_PSD_us]]-Calculate[[#This Row],[Noise_us]]</f>
        <v>10.409948886771332</v>
      </c>
      <c r="Y150" s="2">
        <f>Calculate[[#This Row],[Rx_PSD_ds]]-Calculate[[#This Row],[Noise_ds]]</f>
        <v>10.409948886771332</v>
      </c>
      <c r="Z150" s="2">
        <f>POWER(10,Calculate[[#This Row],[SNRdB_us]]/10)</f>
        <v>10.989929050277434</v>
      </c>
      <c r="AA150" s="2">
        <f>POWER(10,Calculate[[#This Row],[SNRdB_ds]]/10)</f>
        <v>10.989929050277434</v>
      </c>
      <c r="AB150" s="2">
        <f>-(0.002*Calculate[[#This Row],[Freq]]/1000000/2.5+0.68*(Calculate[[#This Row],[Freq]]/1000000/2.5)^0.45)</f>
        <v>-29.094962922877478</v>
      </c>
      <c r="AC150" s="2"/>
    </row>
    <row r="151" spans="1:29" x14ac:dyDescent="0.25">
      <c r="A151" s="33">
        <f t="shared" si="24"/>
        <v>6750000000</v>
      </c>
      <c r="B151" s="1">
        <f>Calculate[[#This Row],[Freq]]-A150</f>
        <v>45000000</v>
      </c>
      <c r="C151" s="1">
        <f>Channels!B151*cable_length</f>
        <v>-25.987913245028935</v>
      </c>
      <c r="D151" s="1">
        <f>Channels!C151*PCB_trace_length</f>
        <v>-2.2630672308261586</v>
      </c>
      <c r="E151" s="1">
        <f>Calculate[[#This Row],[IL_Cable]]+Calculate[[#This Row],[IL_PCB]]</f>
        <v>-28.250980475855094</v>
      </c>
      <c r="F151" s="2">
        <f>Masks!A151</f>
        <v>-100.94530415124757</v>
      </c>
      <c r="G151" s="2">
        <f>Masks!B151</f>
        <v>-100.94530415124757</v>
      </c>
      <c r="H151" s="2">
        <f>Calculate[[#This Row],[Tx_PSD_us]]+Calculate[[#This Row],[IL]]</f>
        <v>-129.19628462710267</v>
      </c>
      <c r="I151" s="2">
        <f>Calculate[[#This Row],[Tx_PSD_ds]]+Calculate[[#This Row],[IL]]</f>
        <v>-129.19628462710267</v>
      </c>
      <c r="J151" s="2">
        <f>Masks[[#This Row],[channel_echo]]</f>
        <v>-9.290813687267157</v>
      </c>
      <c r="K151" s="2">
        <f>Masks[[#This Row],[channel_echo]]</f>
        <v>-9.290813687267157</v>
      </c>
      <c r="L151" s="2">
        <f>Calculate[[#This Row],[Echo_transfer_us]]+Calculate[[#This Row],[Tx_PSD_ds]]</f>
        <v>-110.23611783851473</v>
      </c>
      <c r="M151" s="2">
        <f>Calculate[[#This Row],[Echo_transfer_ds]]+Calculate[[#This Row],[Tx_PSD_us]]</f>
        <v>-110.23611783851473</v>
      </c>
      <c r="N151" s="2">
        <f t="shared" si="20"/>
        <v>-140</v>
      </c>
      <c r="O151" s="2">
        <f t="shared" si="21"/>
        <v>-140</v>
      </c>
      <c r="P151" s="2">
        <f t="shared" si="22"/>
        <v>6</v>
      </c>
      <c r="Q151" s="2">
        <f t="shared" si="23"/>
        <v>6</v>
      </c>
      <c r="R151" s="2">
        <f>10*LOG10((10^(Calculate[[#This Row],[Rx_echo_us]]/10))-(10^((Masks[[#This Row],[connector_echo]]+Calculate[[#This Row],[Tx_PSD_ds]])/10))*EC_conector_ratio_us)-Calculate[[#This Row],[EC_cancelation_us]]</f>
        <v>-148.5861178978823</v>
      </c>
      <c r="S151" s="2">
        <f>10*LOG10((10^(Calculate[[#This Row],[Rx_echo_ds]]/10))-(10^((Masks[[#This Row],[connector_echo]]+Calculate[[#This Row],[Tx_PSD_us]])/10))*EC_conector_ratio_ds)-Calculate[[#This Row],[EC_cancelation_ds]]</f>
        <v>-148.5861178978823</v>
      </c>
      <c r="T151" s="1">
        <f>(POWER(10,Calculate[[#This Row],[AFE_noise_us]]/10)+POWER(10,Calculate[[#This Row],[Echo_res_us]]/10))</f>
        <v>1.1384803683959067E-14</v>
      </c>
      <c r="U151" s="1">
        <f>(POWER(10,Calculate[[#This Row],[AFE_noise_ds]]/10)+POWER(10,Calculate[[#This Row],[Echo_res_ds]]/10))</f>
        <v>1.1384803683959067E-14</v>
      </c>
      <c r="V151" s="2">
        <f>10*LOG10(Calculate[[#This Row],[Linear_Noise_us]])</f>
        <v>-139.43674453824278</v>
      </c>
      <c r="W151" s="2">
        <f>10*LOG10(Calculate[[#This Row],[Linear_Noise_ds]])</f>
        <v>-139.43674453824278</v>
      </c>
      <c r="X151" s="2">
        <f>Calculate[[#This Row],[Rx_PSD_us]]-Calculate[[#This Row],[Noise_us]]</f>
        <v>10.240459911140107</v>
      </c>
      <c r="Y151" s="2">
        <f>Calculate[[#This Row],[Rx_PSD_ds]]-Calculate[[#This Row],[Noise_ds]]</f>
        <v>10.240459911140107</v>
      </c>
      <c r="Z151" s="2">
        <f>POWER(10,Calculate[[#This Row],[SNRdB_us]]/10)</f>
        <v>10.569294304795889</v>
      </c>
      <c r="AA151" s="2">
        <f>POWER(10,Calculate[[#This Row],[SNRdB_ds]]/10)</f>
        <v>10.569294304795889</v>
      </c>
      <c r="AB151" s="2">
        <f>-(0.002*Calculate[[#This Row],[Freq]]/1000000/2.5+0.68*(Calculate[[#This Row],[Freq]]/1000000/2.5)^0.45)</f>
        <v>-29.202501794872688</v>
      </c>
      <c r="AC151" s="2"/>
    </row>
    <row r="152" spans="1:29" x14ac:dyDescent="0.25">
      <c r="A152" s="33">
        <f t="shared" si="24"/>
        <v>6795000000</v>
      </c>
      <c r="B152" s="1">
        <f>Calculate[[#This Row],[Freq]]-A151</f>
        <v>45000000</v>
      </c>
      <c r="C152" s="1">
        <f>Channels!B152*cable_length</f>
        <v>-26.097249649580686</v>
      </c>
      <c r="D152" s="1">
        <f>Channels!C152*PCB_trace_length</f>
        <v>-2.2772174845911213</v>
      </c>
      <c r="E152" s="1">
        <f>Calculate[[#This Row],[IL_Cable]]+Calculate[[#This Row],[IL_PCB]]</f>
        <v>-28.374467134171809</v>
      </c>
      <c r="F152" s="2">
        <f>Masks!A152</f>
        <v>-100.99796467947888</v>
      </c>
      <c r="G152" s="2">
        <f>Masks!B152</f>
        <v>-100.99796467947888</v>
      </c>
      <c r="H152" s="2">
        <f>Calculate[[#This Row],[Tx_PSD_us]]+Calculate[[#This Row],[IL]]</f>
        <v>-129.37243181365068</v>
      </c>
      <c r="I152" s="2">
        <f>Calculate[[#This Row],[Tx_PSD_ds]]+Calculate[[#This Row],[IL]]</f>
        <v>-129.37243181365068</v>
      </c>
      <c r="J152" s="2">
        <f>Masks[[#This Row],[channel_echo]]</f>
        <v>-9.2626869072083142</v>
      </c>
      <c r="K152" s="2">
        <f>Masks[[#This Row],[channel_echo]]</f>
        <v>-9.2626869072083142</v>
      </c>
      <c r="L152" s="2">
        <f>Calculate[[#This Row],[Echo_transfer_us]]+Calculate[[#This Row],[Tx_PSD_ds]]</f>
        <v>-110.2606515866872</v>
      </c>
      <c r="M152" s="2">
        <f>Calculate[[#This Row],[Echo_transfer_ds]]+Calculate[[#This Row],[Tx_PSD_us]]</f>
        <v>-110.2606515866872</v>
      </c>
      <c r="N152" s="2">
        <f t="shared" si="20"/>
        <v>-140</v>
      </c>
      <c r="O152" s="2">
        <f t="shared" si="21"/>
        <v>-140</v>
      </c>
      <c r="P152" s="2">
        <f t="shared" si="22"/>
        <v>6</v>
      </c>
      <c r="Q152" s="2">
        <f t="shared" si="23"/>
        <v>6</v>
      </c>
      <c r="R152" s="2">
        <f>10*LOG10((10^(Calculate[[#This Row],[Rx_echo_us]]/10))-(10^((Masks[[#This Row],[connector_echo]]+Calculate[[#This Row],[Tx_PSD_ds]])/10))*EC_conector_ratio_us)-Calculate[[#This Row],[EC_cancelation_us]]</f>
        <v>-148.63877842614824</v>
      </c>
      <c r="S152" s="2">
        <f>10*LOG10((10^(Calculate[[#This Row],[Rx_echo_ds]]/10))-(10^((Masks[[#This Row],[connector_echo]]+Calculate[[#This Row],[Tx_PSD_us]])/10))*EC_conector_ratio_ds)-Calculate[[#This Row],[EC_cancelation_ds]]</f>
        <v>-148.63877842614824</v>
      </c>
      <c r="T152" s="1">
        <f>(POWER(10,Calculate[[#This Row],[AFE_noise_us]]/10)+POWER(10,Calculate[[#This Row],[Echo_res_us]]/10))</f>
        <v>1.1368113591425992E-14</v>
      </c>
      <c r="U152" s="1">
        <f>(POWER(10,Calculate[[#This Row],[AFE_noise_ds]]/10)+POWER(10,Calculate[[#This Row],[Echo_res_ds]]/10))</f>
        <v>1.1368113591425992E-14</v>
      </c>
      <c r="V152" s="2">
        <f>10*LOG10(Calculate[[#This Row],[Linear_Noise_us]])</f>
        <v>-139.44311595541262</v>
      </c>
      <c r="W152" s="2">
        <f>10*LOG10(Calculate[[#This Row],[Linear_Noise_ds]])</f>
        <v>-139.44311595541262</v>
      </c>
      <c r="X152" s="2">
        <f>Calculate[[#This Row],[Rx_PSD_us]]-Calculate[[#This Row],[Noise_us]]</f>
        <v>10.070684141761944</v>
      </c>
      <c r="Y152" s="2">
        <f>Calculate[[#This Row],[Rx_PSD_ds]]-Calculate[[#This Row],[Noise_ds]]</f>
        <v>10.070684141761944</v>
      </c>
      <c r="Z152" s="2">
        <f>POWER(10,Calculate[[#This Row],[SNRdB_us]]/10)</f>
        <v>10.164087945908392</v>
      </c>
      <c r="AA152" s="2">
        <f>POWER(10,Calculate[[#This Row],[SNRdB_ds]]/10)</f>
        <v>10.164087945908392</v>
      </c>
      <c r="AB152" s="2">
        <f>-(0.002*Calculate[[#This Row],[Freq]]/1000000/2.5+0.68*(Calculate[[#This Row],[Freq]]/1000000/2.5)^0.45)</f>
        <v>-29.309778835515207</v>
      </c>
      <c r="AC152" s="2"/>
    </row>
    <row r="153" spans="1:29" x14ac:dyDescent="0.25">
      <c r="A153" s="33">
        <f t="shared" si="24"/>
        <v>6840000000</v>
      </c>
      <c r="B153" s="1">
        <f>Calculate[[#This Row],[Freq]]-A152</f>
        <v>45000000</v>
      </c>
      <c r="C153" s="1">
        <f>Channels!B153*cable_length</f>
        <v>-26.206375459493401</v>
      </c>
      <c r="D153" s="1">
        <f>Channels!C153*PCB_trace_length</f>
        <v>-2.2913646515414356</v>
      </c>
      <c r="E153" s="1">
        <f>Calculate[[#This Row],[IL_Cable]]+Calculate[[#This Row],[IL_PCB]]</f>
        <v>-28.497740111034837</v>
      </c>
      <c r="F153" s="2">
        <f>Masks!A153</f>
        <v>-101.05112455805062</v>
      </c>
      <c r="G153" s="2">
        <f>Masks!B153</f>
        <v>-101.05112455805062</v>
      </c>
      <c r="H153" s="2">
        <f>Calculate[[#This Row],[Tx_PSD_us]]+Calculate[[#This Row],[IL]]</f>
        <v>-129.54886466908545</v>
      </c>
      <c r="I153" s="2">
        <f>Calculate[[#This Row],[Tx_PSD_ds]]+Calculate[[#This Row],[IL]]</f>
        <v>-129.54886466908545</v>
      </c>
      <c r="J153" s="2">
        <f>Masks[[#This Row],[channel_echo]]</f>
        <v>-9.234741116746255</v>
      </c>
      <c r="K153" s="2">
        <f>Masks[[#This Row],[channel_echo]]</f>
        <v>-9.234741116746255</v>
      </c>
      <c r="L153" s="2">
        <f>Calculate[[#This Row],[Echo_transfer_us]]+Calculate[[#This Row],[Tx_PSD_ds]]</f>
        <v>-110.28586567479687</v>
      </c>
      <c r="M153" s="2">
        <f>Calculate[[#This Row],[Echo_transfer_ds]]+Calculate[[#This Row],[Tx_PSD_us]]</f>
        <v>-110.28586567479687</v>
      </c>
      <c r="N153" s="2">
        <f t="shared" si="20"/>
        <v>-140</v>
      </c>
      <c r="O153" s="2">
        <f t="shared" si="21"/>
        <v>-140</v>
      </c>
      <c r="P153" s="2">
        <f t="shared" si="22"/>
        <v>6</v>
      </c>
      <c r="Q153" s="2">
        <f t="shared" si="23"/>
        <v>6</v>
      </c>
      <c r="R153" s="2">
        <f>10*LOG10((10^(Calculate[[#This Row],[Rx_echo_us]]/10))-(10^((Masks[[#This Row],[connector_echo]]+Calculate[[#This Row],[Tx_PSD_ds]])/10))*EC_conector_ratio_us)-Calculate[[#This Row],[EC_cancelation_us]]</f>
        <v>-148.69193830474296</v>
      </c>
      <c r="S153" s="2">
        <f>10*LOG10((10^(Calculate[[#This Row],[Rx_echo_ds]]/10))-(10^((Masks[[#This Row],[connector_echo]]+Calculate[[#This Row],[Tx_PSD_us]])/10))*EC_conector_ratio_ds)-Calculate[[#This Row],[EC_cancelation_ds]]</f>
        <v>-148.69193830474296</v>
      </c>
      <c r="T153" s="1">
        <f>(POWER(10,Calculate[[#This Row],[AFE_noise_us]]/10)+POWER(10,Calculate[[#This Row],[Echo_res_us]]/10))</f>
        <v>1.1351469252761366E-14</v>
      </c>
      <c r="U153" s="1">
        <f>(POWER(10,Calculate[[#This Row],[AFE_noise_ds]]/10)+POWER(10,Calculate[[#This Row],[Echo_res_ds]]/10))</f>
        <v>1.1351469252761366E-14</v>
      </c>
      <c r="V153" s="2">
        <f>10*LOG10(Calculate[[#This Row],[Linear_Noise_us]])</f>
        <v>-139.4494792286996</v>
      </c>
      <c r="W153" s="2">
        <f>10*LOG10(Calculate[[#This Row],[Linear_Noise_ds]])</f>
        <v>-139.4494792286996</v>
      </c>
      <c r="X153" s="2">
        <f>Calculate[[#This Row],[Rx_PSD_us]]-Calculate[[#This Row],[Noise_us]]</f>
        <v>9.900614559614155</v>
      </c>
      <c r="Y153" s="2">
        <f>Calculate[[#This Row],[Rx_PSD_ds]]-Calculate[[#This Row],[Noise_ds]]</f>
        <v>9.900614559614155</v>
      </c>
      <c r="Z153" s="2">
        <f>POWER(10,Calculate[[#This Row],[SNRdB_us]]/10)</f>
        <v>9.7737551721540488</v>
      </c>
      <c r="AA153" s="2">
        <f>POWER(10,Calculate[[#This Row],[SNRdB_ds]]/10)</f>
        <v>9.7737551721540488</v>
      </c>
      <c r="AB153" s="2">
        <f>-(0.002*Calculate[[#This Row],[Freq]]/1000000/2.5+0.68*(Calculate[[#This Row],[Freq]]/1000000/2.5)^0.45)</f>
        <v>-29.416796727628281</v>
      </c>
      <c r="AC153" s="2"/>
    </row>
    <row r="154" spans="1:29" x14ac:dyDescent="0.25">
      <c r="A154" s="33">
        <f t="shared" si="24"/>
        <v>6885000000</v>
      </c>
      <c r="B154" s="1">
        <f>Calculate[[#This Row],[Freq]]-A153</f>
        <v>45000000</v>
      </c>
      <c r="C154" s="1">
        <f>Channels!B154*cable_length</f>
        <v>-26.315292749619225</v>
      </c>
      <c r="D154" s="1">
        <f>Channels!C154*PCB_trace_length</f>
        <v>-2.3055087620894819</v>
      </c>
      <c r="E154" s="1">
        <f>Calculate[[#This Row],[IL_Cable]]+Calculate[[#This Row],[IL_PCB]]</f>
        <v>-28.620801511708706</v>
      </c>
      <c r="F154" s="2">
        <f>Masks!A154</f>
        <v>-101.10478793762691</v>
      </c>
      <c r="G154" s="2">
        <f>Masks!B154</f>
        <v>-101.10478793762691</v>
      </c>
      <c r="H154" s="2">
        <f>Calculate[[#This Row],[Tx_PSD_us]]+Calculate[[#This Row],[IL]]</f>
        <v>-129.72558944933562</v>
      </c>
      <c r="I154" s="2">
        <f>Calculate[[#This Row],[Tx_PSD_ds]]+Calculate[[#This Row],[IL]]</f>
        <v>-129.72558944933562</v>
      </c>
      <c r="J154" s="2">
        <f>Masks[[#This Row],[channel_echo]]</f>
        <v>-9.2069740015096144</v>
      </c>
      <c r="K154" s="2">
        <f>Masks[[#This Row],[channel_echo]]</f>
        <v>-9.2069740015096144</v>
      </c>
      <c r="L154" s="2">
        <f>Calculate[[#This Row],[Echo_transfer_us]]+Calculate[[#This Row],[Tx_PSD_ds]]</f>
        <v>-110.31176193913652</v>
      </c>
      <c r="M154" s="2">
        <f>Calculate[[#This Row],[Echo_transfer_ds]]+Calculate[[#This Row],[Tx_PSD_us]]</f>
        <v>-110.31176193913652</v>
      </c>
      <c r="N154" s="2">
        <f t="shared" si="20"/>
        <v>-140</v>
      </c>
      <c r="O154" s="2">
        <f t="shared" si="21"/>
        <v>-140</v>
      </c>
      <c r="P154" s="2">
        <f t="shared" si="22"/>
        <v>6</v>
      </c>
      <c r="Q154" s="2">
        <f t="shared" si="23"/>
        <v>6</v>
      </c>
      <c r="R154" s="2">
        <f>10*LOG10((10^(Calculate[[#This Row],[Rx_echo_us]]/10))-(10^((Masks[[#This Row],[connector_echo]]+Calculate[[#This Row],[Tx_PSD_ds]])/10))*EC_conector_ratio_us)-Calculate[[#This Row],[EC_cancelation_us]]</f>
        <v>-148.74560168427845</v>
      </c>
      <c r="S154" s="2">
        <f>10*LOG10((10^(Calculate[[#This Row],[Rx_echo_ds]]/10))-(10^((Masks[[#This Row],[connector_echo]]+Calculate[[#This Row],[Tx_PSD_us]])/10))*EC_conector_ratio_ds)-Calculate[[#This Row],[EC_cancelation_ds]]</f>
        <v>-148.74560168427845</v>
      </c>
      <c r="T154" s="1">
        <f>(POWER(10,Calculate[[#This Row],[AFE_noise_us]]/10)+POWER(10,Calculate[[#This Row],[Echo_res_us]]/10))</f>
        <v>1.133487263959088E-14</v>
      </c>
      <c r="U154" s="1">
        <f>(POWER(10,Calculate[[#This Row],[AFE_noise_ds]]/10)+POWER(10,Calculate[[#This Row],[Echo_res_ds]]/10))</f>
        <v>1.133487263959088E-14</v>
      </c>
      <c r="V154" s="2">
        <f>10*LOG10(Calculate[[#This Row],[Linear_Noise_us]])</f>
        <v>-139.45583355311052</v>
      </c>
      <c r="W154" s="2">
        <f>10*LOG10(Calculate[[#This Row],[Linear_Noise_ds]])</f>
        <v>-139.45583355311052</v>
      </c>
      <c r="X154" s="2">
        <f>Calculate[[#This Row],[Rx_PSD_us]]-Calculate[[#This Row],[Noise_us]]</f>
        <v>9.7302441037749077</v>
      </c>
      <c r="Y154" s="2">
        <f>Calculate[[#This Row],[Rx_PSD_ds]]-Calculate[[#This Row],[Noise_ds]]</f>
        <v>9.7302441037749077</v>
      </c>
      <c r="Z154" s="2">
        <f>POWER(10,Calculate[[#This Row],[SNRdB_us]]/10)</f>
        <v>9.3977613105023377</v>
      </c>
      <c r="AA154" s="2">
        <f>POWER(10,Calculate[[#This Row],[SNRdB_ds]]/10)</f>
        <v>9.3977613105023377</v>
      </c>
      <c r="AB154" s="2">
        <f>-(0.002*Calculate[[#This Row],[Freq]]/1000000/2.5+0.68*(Calculate[[#This Row],[Freq]]/1000000/2.5)^0.45)</f>
        <v>-29.523558109107743</v>
      </c>
      <c r="AC154" s="2"/>
    </row>
    <row r="155" spans="1:29" x14ac:dyDescent="0.25">
      <c r="A155" s="33">
        <f t="shared" si="24"/>
        <v>6930000000</v>
      </c>
      <c r="B155" s="1">
        <f>Calculate[[#This Row],[Freq]]-A154</f>
        <v>45000000</v>
      </c>
      <c r="C155" s="1">
        <f>Channels!B155*cable_length</f>
        <v>-26.424003560962149</v>
      </c>
      <c r="D155" s="1">
        <f>Channels!C155*PCB_trace_length</f>
        <v>-2.3196498461515049</v>
      </c>
      <c r="E155" s="1">
        <f>Calculate[[#This Row],[IL_Cable]]+Calculate[[#This Row],[IL_PCB]]</f>
        <v>-28.743653407113655</v>
      </c>
      <c r="F155" s="2">
        <f>Masks!A155</f>
        <v>-101.15895904998612</v>
      </c>
      <c r="G155" s="2">
        <f>Masks!B155</f>
        <v>-101.15895904998612</v>
      </c>
      <c r="H155" s="2">
        <f>Calculate[[#This Row],[Tx_PSD_us]]+Calculate[[#This Row],[IL]]</f>
        <v>-129.90261245709979</v>
      </c>
      <c r="I155" s="2">
        <f>Calculate[[#This Row],[Tx_PSD_ds]]+Calculate[[#This Row],[IL]]</f>
        <v>-129.90261245709979</v>
      </c>
      <c r="J155" s="2">
        <f>Masks[[#This Row],[channel_echo]]</f>
        <v>-9.179383291237059</v>
      </c>
      <c r="K155" s="2">
        <f>Masks[[#This Row],[channel_echo]]</f>
        <v>-9.179383291237059</v>
      </c>
      <c r="L155" s="2">
        <f>Calculate[[#This Row],[Echo_transfer_us]]+Calculate[[#This Row],[Tx_PSD_ds]]</f>
        <v>-110.33834234122318</v>
      </c>
      <c r="M155" s="2">
        <f>Calculate[[#This Row],[Echo_transfer_ds]]+Calculate[[#This Row],[Tx_PSD_us]]</f>
        <v>-110.33834234122318</v>
      </c>
      <c r="N155" s="2">
        <f t="shared" si="20"/>
        <v>-140</v>
      </c>
      <c r="O155" s="2">
        <f t="shared" si="21"/>
        <v>-140</v>
      </c>
      <c r="P155" s="2">
        <f t="shared" si="22"/>
        <v>6</v>
      </c>
      <c r="Q155" s="2">
        <f t="shared" si="23"/>
        <v>6</v>
      </c>
      <c r="R155" s="2">
        <f>10*LOG10((10^(Calculate[[#This Row],[Rx_echo_us]]/10))-(10^((Masks[[#This Row],[connector_echo]]+Calculate[[#This Row],[Tx_PSD_ds]])/10))*EC_conector_ratio_us)-Calculate[[#This Row],[EC_cancelation_us]]</f>
        <v>-148.79977279665673</v>
      </c>
      <c r="S155" s="2">
        <f>10*LOG10((10^(Calculate[[#This Row],[Rx_echo_ds]]/10))-(10^((Masks[[#This Row],[connector_echo]]+Calculate[[#This Row],[Tx_PSD_us]])/10))*EC_conector_ratio_ds)-Calculate[[#This Row],[EC_cancelation_ds]]</f>
        <v>-148.79977279665673</v>
      </c>
      <c r="T155" s="1">
        <f>(POWER(10,Calculate[[#This Row],[AFE_noise_us]]/10)+POWER(10,Calculate[[#This Row],[Echo_res_us]]/10))</f>
        <v>1.1318325705624942E-14</v>
      </c>
      <c r="U155" s="1">
        <f>(POWER(10,Calculate[[#This Row],[AFE_noise_ds]]/10)+POWER(10,Calculate[[#This Row],[Echo_res_ds]]/10))</f>
        <v>1.1318325705624942E-14</v>
      </c>
      <c r="V155" s="2">
        <f>10*LOG10(Calculate[[#This Row],[Linear_Noise_us]])</f>
        <v>-139.46217812598928</v>
      </c>
      <c r="W155" s="2">
        <f>10*LOG10(Calculate[[#This Row],[Linear_Noise_ds]])</f>
        <v>-139.46217812598928</v>
      </c>
      <c r="X155" s="2">
        <f>Calculate[[#This Row],[Rx_PSD_us]]-Calculate[[#This Row],[Noise_us]]</f>
        <v>9.5595656688894906</v>
      </c>
      <c r="Y155" s="2">
        <f>Calculate[[#This Row],[Rx_PSD_ds]]-Calculate[[#This Row],[Noise_ds]]</f>
        <v>9.5595656688894906</v>
      </c>
      <c r="Z155" s="2">
        <f>POWER(10,Calculate[[#This Row],[SNRdB_us]]/10)</f>
        <v>9.0355910567236482</v>
      </c>
      <c r="AA155" s="2">
        <f>POWER(10,Calculate[[#This Row],[SNRdB_ds]]/10)</f>
        <v>9.0355910567236482</v>
      </c>
      <c r="AB155" s="2">
        <f>-(0.002*Calculate[[#This Row],[Freq]]/1000000/2.5+0.68*(Calculate[[#This Row],[Freq]]/1000000/2.5)^0.45)</f>
        <v>-29.630065573962558</v>
      </c>
      <c r="AC155" s="2"/>
    </row>
    <row r="156" spans="1:29" x14ac:dyDescent="0.25">
      <c r="A156" s="33">
        <f t="shared" si="24"/>
        <v>6975000000</v>
      </c>
      <c r="B156" s="1">
        <f>Calculate[[#This Row],[Freq]]-A155</f>
        <v>45000000</v>
      </c>
      <c r="C156" s="1">
        <f>Channels!B156*cable_length</f>
        <v>-26.53250990144608</v>
      </c>
      <c r="D156" s="1">
        <f>Channels!C156*PCB_trace_length</f>
        <v>-2.3337879331588764</v>
      </c>
      <c r="E156" s="1">
        <f>Calculate[[#This Row],[IL_Cable]]+Calculate[[#This Row],[IL_PCB]]</f>
        <v>-28.866297834604957</v>
      </c>
      <c r="F156" s="2">
        <f>Masks!A156</f>
        <v>-101.21364221000854</v>
      </c>
      <c r="G156" s="2">
        <f>Masks!B156</f>
        <v>-101.21364221000854</v>
      </c>
      <c r="H156" s="2">
        <f>Calculate[[#This Row],[Tx_PSD_us]]+Calculate[[#This Row],[IL]]</f>
        <v>-130.07994004461349</v>
      </c>
      <c r="I156" s="2">
        <f>Calculate[[#This Row],[Tx_PSD_ds]]+Calculate[[#This Row],[IL]]</f>
        <v>-130.07994004461349</v>
      </c>
      <c r="J156" s="2">
        <f>Masks[[#This Row],[channel_echo]]</f>
        <v>-9.1519667586634057</v>
      </c>
      <c r="K156" s="2">
        <f>Masks[[#This Row],[channel_echo]]</f>
        <v>-9.1519667586634057</v>
      </c>
      <c r="L156" s="2">
        <f>Calculate[[#This Row],[Echo_transfer_us]]+Calculate[[#This Row],[Tx_PSD_ds]]</f>
        <v>-110.36560896867195</v>
      </c>
      <c r="M156" s="2">
        <f>Calculate[[#This Row],[Echo_transfer_ds]]+Calculate[[#This Row],[Tx_PSD_us]]</f>
        <v>-110.36560896867195</v>
      </c>
      <c r="N156" s="2">
        <f t="shared" si="20"/>
        <v>-140</v>
      </c>
      <c r="O156" s="2">
        <f t="shared" si="21"/>
        <v>-140</v>
      </c>
      <c r="P156" s="2">
        <f t="shared" si="22"/>
        <v>6</v>
      </c>
      <c r="Q156" s="2">
        <f t="shared" si="23"/>
        <v>6</v>
      </c>
      <c r="R156" s="2">
        <f>10*LOG10((10^(Calculate[[#This Row],[Rx_echo_us]]/10))-(10^((Masks[[#This Row],[connector_echo]]+Calculate[[#This Row],[Tx_PSD_ds]])/10))*EC_conector_ratio_us)-Calculate[[#This Row],[EC_cancelation_us]]</f>
        <v>-148.85445595668935</v>
      </c>
      <c r="S156" s="2">
        <f>10*LOG10((10^(Calculate[[#This Row],[Rx_echo_ds]]/10))-(10^((Masks[[#This Row],[connector_echo]]+Calculate[[#This Row],[Tx_PSD_us]])/10))*EC_conector_ratio_ds)-Calculate[[#This Row],[EC_cancelation_ds]]</f>
        <v>-148.85445595668935</v>
      </c>
      <c r="T156" s="1">
        <f>(POWER(10,Calculate[[#This Row],[AFE_noise_us]]/10)+POWER(10,Calculate[[#This Row],[Echo_res_us]]/10))</f>
        <v>1.130183038644088E-14</v>
      </c>
      <c r="U156" s="1">
        <f>(POWER(10,Calculate[[#This Row],[AFE_noise_ds]]/10)+POWER(10,Calculate[[#This Row],[Echo_res_ds]]/10))</f>
        <v>1.130183038644088E-14</v>
      </c>
      <c r="V156" s="2">
        <f>10*LOG10(Calculate[[#This Row],[Linear_Noise_us]])</f>
        <v>-139.46851214715127</v>
      </c>
      <c r="W156" s="2">
        <f>10*LOG10(Calculate[[#This Row],[Linear_Noise_ds]])</f>
        <v>-139.46851214715127</v>
      </c>
      <c r="X156" s="2">
        <f>Calculate[[#This Row],[Rx_PSD_us]]-Calculate[[#This Row],[Noise_us]]</f>
        <v>9.3885721025377791</v>
      </c>
      <c r="Y156" s="2">
        <f>Calculate[[#This Row],[Rx_PSD_ds]]-Calculate[[#This Row],[Noise_ds]]</f>
        <v>9.3885721025377791</v>
      </c>
      <c r="Z156" s="2">
        <f>POWER(10,Calculate[[#This Row],[SNRdB_us]]/10)</f>
        <v>8.6867477462351363</v>
      </c>
      <c r="AA156" s="2">
        <f>POWER(10,Calculate[[#This Row],[SNRdB_ds]]/10)</f>
        <v>8.6867477462351363</v>
      </c>
      <c r="AB156" s="2">
        <f>-(0.002*Calculate[[#This Row],[Freq]]/1000000/2.5+0.68*(Calculate[[#This Row],[Freq]]/1000000/2.5)^0.45)</f>
        <v>-29.73632167332471</v>
      </c>
      <c r="AC156" s="2"/>
    </row>
    <row r="157" spans="1:29" x14ac:dyDescent="0.25">
      <c r="A157" s="33">
        <f t="shared" si="24"/>
        <v>7020000000</v>
      </c>
      <c r="B157" s="1">
        <f>Calculate[[#This Row],[Freq]]-A156</f>
        <v>45000000</v>
      </c>
      <c r="C157" s="1">
        <f>Channels!B157*cable_length</f>
        <v>-26.640813746660616</v>
      </c>
      <c r="D157" s="1">
        <f>Channels!C157*PCB_trace_length</f>
        <v>-2.3479230520690222</v>
      </c>
      <c r="E157" s="1">
        <f>Calculate[[#This Row],[IL_Cable]]+Calculate[[#This Row],[IL_PCB]]</f>
        <v>-28.988736798729636</v>
      </c>
      <c r="F157" s="2">
        <f>Masks!A157</f>
        <v>-101.26884181772775</v>
      </c>
      <c r="G157" s="2">
        <f>Masks!B157</f>
        <v>-101.26884181772775</v>
      </c>
      <c r="H157" s="2">
        <f>Calculate[[#This Row],[Tx_PSD_us]]+Calculate[[#This Row],[IL]]</f>
        <v>-130.25757861645738</v>
      </c>
      <c r="I157" s="2">
        <f>Calculate[[#This Row],[Tx_PSD_ds]]+Calculate[[#This Row],[IL]]</f>
        <v>-130.25757861645738</v>
      </c>
      <c r="J157" s="2">
        <f>Masks[[#This Row],[channel_echo]]</f>
        <v>-9.1247222184407271</v>
      </c>
      <c r="K157" s="2">
        <f>Masks[[#This Row],[channel_echo]]</f>
        <v>-9.1247222184407271</v>
      </c>
      <c r="L157" s="2">
        <f>Calculate[[#This Row],[Echo_transfer_us]]+Calculate[[#This Row],[Tx_PSD_ds]]</f>
        <v>-110.39356403616847</v>
      </c>
      <c r="M157" s="2">
        <f>Calculate[[#This Row],[Echo_transfer_ds]]+Calculate[[#This Row],[Tx_PSD_us]]</f>
        <v>-110.39356403616847</v>
      </c>
      <c r="N157" s="2">
        <f t="shared" si="20"/>
        <v>-140</v>
      </c>
      <c r="O157" s="2">
        <f t="shared" si="21"/>
        <v>-140</v>
      </c>
      <c r="P157" s="2">
        <f t="shared" si="22"/>
        <v>6</v>
      </c>
      <c r="Q157" s="2">
        <f t="shared" si="23"/>
        <v>6</v>
      </c>
      <c r="R157" s="2">
        <f>10*LOG10((10^(Calculate[[#This Row],[Rx_echo_us]]/10))-(10^((Masks[[#This Row],[connector_echo]]+Calculate[[#This Row],[Tx_PSD_ds]])/10))*EC_conector_ratio_us)-Calculate[[#This Row],[EC_cancelation_us]]</f>
        <v>-148.90965556438678</v>
      </c>
      <c r="S157" s="2">
        <f>10*LOG10((10^(Calculate[[#This Row],[Rx_echo_ds]]/10))-(10^((Masks[[#This Row],[connector_echo]]+Calculate[[#This Row],[Tx_PSD_us]])/10))*EC_conector_ratio_ds)-Calculate[[#This Row],[EC_cancelation_ds]]</f>
        <v>-148.90965556438678</v>
      </c>
      <c r="T157" s="1">
        <f>(POWER(10,Calculate[[#This Row],[AFE_noise_us]]/10)+POWER(10,Calculate[[#This Row],[Echo_res_us]]/10))</f>
        <v>1.1285388599082334E-14</v>
      </c>
      <c r="U157" s="1">
        <f>(POWER(10,Calculate[[#This Row],[AFE_noise_ds]]/10)+POWER(10,Calculate[[#This Row],[Echo_res_ds]]/10))</f>
        <v>1.1285388599082334E-14</v>
      </c>
      <c r="V157" s="2">
        <f>10*LOG10(Calculate[[#This Row],[Linear_Noise_us]])</f>
        <v>-139.47483481909086</v>
      </c>
      <c r="W157" s="2">
        <f>10*LOG10(Calculate[[#This Row],[Linear_Noise_ds]])</f>
        <v>-139.47483481909086</v>
      </c>
      <c r="X157" s="2">
        <f>Calculate[[#This Row],[Rx_PSD_us]]-Calculate[[#This Row],[Noise_us]]</f>
        <v>9.2172562026334788</v>
      </c>
      <c r="Y157" s="2">
        <f>Calculate[[#This Row],[Rx_PSD_ds]]-Calculate[[#This Row],[Noise_ds]]</f>
        <v>9.2172562026334788</v>
      </c>
      <c r="Z157" s="2">
        <f>POWER(10,Calculate[[#This Row],[SNRdB_us]]/10)</f>
        <v>8.3507526543751371</v>
      </c>
      <c r="AA157" s="2">
        <f>POWER(10,Calculate[[#This Row],[SNRdB_ds]]/10)</f>
        <v>8.3507526543751371</v>
      </c>
      <c r="AB157" s="2">
        <f>-(0.002*Calculate[[#This Row],[Freq]]/1000000/2.5+0.68*(Calculate[[#This Row],[Freq]]/1000000/2.5)^0.45)</f>
        <v>-29.842328916429555</v>
      </c>
      <c r="AC157" s="2"/>
    </row>
    <row r="158" spans="1:29" x14ac:dyDescent="0.25">
      <c r="A158" s="33">
        <f t="shared" si="24"/>
        <v>7065000000</v>
      </c>
      <c r="B158" s="1">
        <f>Calculate[[#This Row],[Freq]]-A157</f>
        <v>45000000</v>
      </c>
      <c r="C158" s="1">
        <f>Channels!B158*cable_length</f>
        <v>-26.74891704058534</v>
      </c>
      <c r="D158" s="1">
        <f>Channels!C158*PCB_trace_length</f>
        <v>-2.3620552313760439</v>
      </c>
      <c r="E158" s="1">
        <f>Calculate[[#This Row],[IL_Cable]]+Calculate[[#This Row],[IL_PCB]]</f>
        <v>-29.110972271961383</v>
      </c>
      <c r="F158" s="2">
        <f>Masks!A158</f>
        <v>-101.32456236044777</v>
      </c>
      <c r="G158" s="2">
        <f>Masks!B158</f>
        <v>-101.32456236044777</v>
      </c>
      <c r="H158" s="2">
        <f>Calculate[[#This Row],[Tx_PSD_us]]+Calculate[[#This Row],[IL]]</f>
        <v>-130.43553463240914</v>
      </c>
      <c r="I158" s="2">
        <f>Calculate[[#This Row],[Tx_PSD_ds]]+Calculate[[#This Row],[IL]]</f>
        <v>-130.43553463240914</v>
      </c>
      <c r="J158" s="2">
        <f>Masks[[#This Row],[channel_echo]]</f>
        <v>-9.0976475260930361</v>
      </c>
      <c r="K158" s="2">
        <f>Masks[[#This Row],[channel_echo]]</f>
        <v>-9.0976475260930361</v>
      </c>
      <c r="L158" s="2">
        <f>Calculate[[#This Row],[Echo_transfer_us]]+Calculate[[#This Row],[Tx_PSD_ds]]</f>
        <v>-110.42220988654081</v>
      </c>
      <c r="M158" s="2">
        <f>Calculate[[#This Row],[Echo_transfer_ds]]+Calculate[[#This Row],[Tx_PSD_us]]</f>
        <v>-110.42220988654081</v>
      </c>
      <c r="N158" s="2">
        <f t="shared" si="20"/>
        <v>-140</v>
      </c>
      <c r="O158" s="2">
        <f t="shared" si="21"/>
        <v>-140</v>
      </c>
      <c r="P158" s="2">
        <f t="shared" si="22"/>
        <v>6</v>
      </c>
      <c r="Q158" s="2">
        <f t="shared" si="23"/>
        <v>6</v>
      </c>
      <c r="R158" s="2">
        <f>10*LOG10((10^(Calculate[[#This Row],[Rx_echo_us]]/10))-(10^((Masks[[#This Row],[connector_echo]]+Calculate[[#This Row],[Tx_PSD_ds]])/10))*EC_conector_ratio_us)-Calculate[[#This Row],[EC_cancelation_us]]</f>
        <v>-148.96537610712869</v>
      </c>
      <c r="S158" s="2">
        <f>10*LOG10((10^(Calculate[[#This Row],[Rx_echo_ds]]/10))-(10^((Masks[[#This Row],[connector_echo]]+Calculate[[#This Row],[Tx_PSD_us]])/10))*EC_conector_ratio_ds)-Calculate[[#This Row],[EC_cancelation_ds]]</f>
        <v>-148.96537610712869</v>
      </c>
      <c r="T158" s="1">
        <f>(POWER(10,Calculate[[#This Row],[AFE_noise_us]]/10)+POWER(10,Calculate[[#This Row],[Echo_res_us]]/10))</f>
        <v>1.126900224172327E-14</v>
      </c>
      <c r="U158" s="1">
        <f>(POWER(10,Calculate[[#This Row],[AFE_noise_ds]]/10)+POWER(10,Calculate[[#This Row],[Echo_res_ds]]/10))</f>
        <v>1.126900224172327E-14</v>
      </c>
      <c r="V158" s="2">
        <f>10*LOG10(Calculate[[#This Row],[Linear_Noise_us]])</f>
        <v>-139.48114534716663</v>
      </c>
      <c r="W158" s="2">
        <f>10*LOG10(Calculate[[#This Row],[Linear_Noise_ds]])</f>
        <v>-139.48114534716663</v>
      </c>
      <c r="X158" s="2">
        <f>Calculate[[#This Row],[Rx_PSD_us]]-Calculate[[#This Row],[Noise_us]]</f>
        <v>9.0456107147574869</v>
      </c>
      <c r="Y158" s="2">
        <f>Calculate[[#This Row],[Rx_PSD_ds]]-Calculate[[#This Row],[Noise_ds]]</f>
        <v>9.0456107147574869</v>
      </c>
      <c r="Z158" s="2">
        <f>POWER(10,Calculate[[#This Row],[SNRdB_us]]/10)</f>
        <v>8.027144324616982</v>
      </c>
      <c r="AA158" s="2">
        <f>POWER(10,Calculate[[#This Row],[SNRdB_ds]]/10)</f>
        <v>8.027144324616982</v>
      </c>
      <c r="AB158" s="2">
        <f>-(0.002*Calculate[[#This Row],[Freq]]/1000000/2.5+0.68*(Calculate[[#This Row],[Freq]]/1000000/2.5)^0.45)</f>
        <v>-29.948089771567542</v>
      </c>
      <c r="AC158" s="2"/>
    </row>
    <row r="159" spans="1:29" x14ac:dyDescent="0.25">
      <c r="A159" s="33">
        <f t="shared" si="24"/>
        <v>7110000000</v>
      </c>
      <c r="B159" s="1">
        <f>Calculate[[#This Row],[Freq]]-A158</f>
        <v>45000000</v>
      </c>
      <c r="C159" s="1">
        <f>Channels!B159*cable_length</f>
        <v>-26.856821696293423</v>
      </c>
      <c r="D159" s="1">
        <f>Channels!C159*PCB_trace_length</f>
        <v>-2.3761844991210253</v>
      </c>
      <c r="E159" s="1">
        <f>Calculate[[#This Row],[IL_Cable]]+Calculate[[#This Row],[IL_PCB]]</f>
        <v>-29.233006195414447</v>
      </c>
      <c r="F159" s="2">
        <f>Masks!A159</f>
        <v>-101.38080841492898</v>
      </c>
      <c r="G159" s="2">
        <f>Masks!B159</f>
        <v>-101.38080841492898</v>
      </c>
      <c r="H159" s="2">
        <f>Calculate[[#This Row],[Tx_PSD_us]]+Calculate[[#This Row],[IL]]</f>
        <v>-130.61381461034341</v>
      </c>
      <c r="I159" s="2">
        <f>Calculate[[#This Row],[Tx_PSD_ds]]+Calculate[[#This Row],[IL]]</f>
        <v>-130.61381461034341</v>
      </c>
      <c r="J159" s="2">
        <f>Masks[[#This Row],[channel_echo]]</f>
        <v>-9.0707405770033827</v>
      </c>
      <c r="K159" s="2">
        <f>Masks[[#This Row],[channel_echo]]</f>
        <v>-9.0707405770033827</v>
      </c>
      <c r="L159" s="2">
        <f>Calculate[[#This Row],[Echo_transfer_us]]+Calculate[[#This Row],[Tx_PSD_ds]]</f>
        <v>-110.45154899193236</v>
      </c>
      <c r="M159" s="2">
        <f>Calculate[[#This Row],[Echo_transfer_ds]]+Calculate[[#This Row],[Tx_PSD_us]]</f>
        <v>-110.45154899193236</v>
      </c>
      <c r="N159" s="2">
        <f t="shared" si="20"/>
        <v>-140</v>
      </c>
      <c r="O159" s="2">
        <f t="shared" si="21"/>
        <v>-140</v>
      </c>
      <c r="P159" s="2">
        <f t="shared" si="22"/>
        <v>6</v>
      </c>
      <c r="Q159" s="2">
        <f t="shared" si="23"/>
        <v>6</v>
      </c>
      <c r="R159" s="2">
        <f>10*LOG10((10^(Calculate[[#This Row],[Rx_echo_us]]/10))-(10^((Masks[[#This Row],[connector_echo]]+Calculate[[#This Row],[Tx_PSD_ds]])/10))*EC_conector_ratio_us)-Calculate[[#This Row],[EC_cancelation_us]]</f>
        <v>-149.02162216155233</v>
      </c>
      <c r="S159" s="2">
        <f>10*LOG10((10^(Calculate[[#This Row],[Rx_echo_ds]]/10))-(10^((Masks[[#This Row],[connector_echo]]+Calculate[[#This Row],[Tx_PSD_us]])/10))*EC_conector_ratio_ds)-Calculate[[#This Row],[EC_cancelation_ds]]</f>
        <v>-149.02162216155233</v>
      </c>
      <c r="T159" s="1">
        <f>(POWER(10,Calculate[[#This Row],[AFE_noise_us]]/10)+POWER(10,Calculate[[#This Row],[Echo_res_us]]/10))</f>
        <v>1.1252673193439482E-14</v>
      </c>
      <c r="U159" s="1">
        <f>(POWER(10,Calculate[[#This Row],[AFE_noise_ds]]/10)+POWER(10,Calculate[[#This Row],[Echo_res_ds]]/10))</f>
        <v>1.1252673193439482E-14</v>
      </c>
      <c r="V159" s="2">
        <f>10*LOG10(Calculate[[#This Row],[Linear_Noise_us]])</f>
        <v>-139.48744293974801</v>
      </c>
      <c r="W159" s="2">
        <f>10*LOG10(Calculate[[#This Row],[Linear_Noise_ds]])</f>
        <v>-139.48744293974801</v>
      </c>
      <c r="X159" s="2">
        <f>Calculate[[#This Row],[Rx_PSD_us]]-Calculate[[#This Row],[Noise_us]]</f>
        <v>8.8736283294045961</v>
      </c>
      <c r="Y159" s="2">
        <f>Calculate[[#This Row],[Rx_PSD_ds]]-Calculate[[#This Row],[Noise_ds]]</f>
        <v>8.8736283294045961</v>
      </c>
      <c r="Z159" s="2">
        <f>POWER(10,Calculate[[#This Row],[SNRdB_us]]/10)</f>
        <v>7.7154779234904725</v>
      </c>
      <c r="AA159" s="2">
        <f>POWER(10,Calculate[[#This Row],[SNRdB_ds]]/10)</f>
        <v>7.7154779234904725</v>
      </c>
      <c r="AB159" s="2">
        <f>-(0.002*Calculate[[#This Row],[Freq]]/1000000/2.5+0.68*(Calculate[[#This Row],[Freq]]/1000000/2.5)^0.45)</f>
        <v>-30.053606667008445</v>
      </c>
      <c r="AC159" s="2"/>
    </row>
    <row r="160" spans="1:29" x14ac:dyDescent="0.25">
      <c r="A160" s="33">
        <f t="shared" si="24"/>
        <v>7155000000</v>
      </c>
      <c r="B160" s="1">
        <f>Calculate[[#This Row],[Freq]]-A159</f>
        <v>45000000</v>
      </c>
      <c r="C160" s="1">
        <f>Channels!B160*cable_length</f>
        <v>-26.964529596635167</v>
      </c>
      <c r="D160" s="1">
        <f>Channels!C160*PCB_trace_length</f>
        <v>-2.3903108829020581</v>
      </c>
      <c r="E160" s="1">
        <f>Calculate[[#This Row],[IL_Cable]]+Calculate[[#This Row],[IL_PCB]]</f>
        <v>-29.354840479537224</v>
      </c>
      <c r="F160" s="2">
        <f>Masks!A160</f>
        <v>-101.43758464964499</v>
      </c>
      <c r="G160" s="2">
        <f>Masks!B160</f>
        <v>-101.43758464964499</v>
      </c>
      <c r="H160" s="2">
        <f>Calculate[[#This Row],[Tx_PSD_us]]+Calculate[[#This Row],[IL]]</f>
        <v>-130.79242512918222</v>
      </c>
      <c r="I160" s="2">
        <f>Calculate[[#This Row],[Tx_PSD_ds]]+Calculate[[#This Row],[IL]]</f>
        <v>-130.79242512918222</v>
      </c>
      <c r="J160" s="2">
        <f>Masks[[#This Row],[channel_echo]]</f>
        <v>-9.0439993054321324</v>
      </c>
      <c r="K160" s="2">
        <f>Masks[[#This Row],[channel_echo]]</f>
        <v>-9.0439993054321324</v>
      </c>
      <c r="L160" s="2">
        <f>Calculate[[#This Row],[Echo_transfer_us]]+Calculate[[#This Row],[Tx_PSD_ds]]</f>
        <v>-110.48158395507713</v>
      </c>
      <c r="M160" s="2">
        <f>Calculate[[#This Row],[Echo_transfer_ds]]+Calculate[[#This Row],[Tx_PSD_us]]</f>
        <v>-110.48158395507713</v>
      </c>
      <c r="N160" s="2">
        <f t="shared" si="20"/>
        <v>-140</v>
      </c>
      <c r="O160" s="2">
        <f t="shared" si="21"/>
        <v>-140</v>
      </c>
      <c r="P160" s="2">
        <f t="shared" si="22"/>
        <v>6</v>
      </c>
      <c r="Q160" s="2">
        <f t="shared" si="23"/>
        <v>6</v>
      </c>
      <c r="R160" s="2">
        <f>10*LOG10((10^(Calculate[[#This Row],[Rx_echo_us]]/10))-(10^((Masks[[#This Row],[connector_echo]]+Calculate[[#This Row],[Tx_PSD_ds]])/10))*EC_conector_ratio_us)-Calculate[[#This Row],[EC_cancelation_us]]</f>
        <v>-149.07839839631797</v>
      </c>
      <c r="S160" s="2">
        <f>10*LOG10((10^(Calculate[[#This Row],[Rx_echo_ds]]/10))-(10^((Masks[[#This Row],[connector_echo]]+Calculate[[#This Row],[Tx_PSD_us]])/10))*EC_conector_ratio_ds)-Calculate[[#This Row],[EC_cancelation_ds]]</f>
        <v>-149.07839839631797</v>
      </c>
      <c r="T160" s="1">
        <f>(POWER(10,Calculate[[#This Row],[AFE_noise_us]]/10)+POWER(10,Calculate[[#This Row],[Echo_res_us]]/10))</f>
        <v>1.1236403313749242E-14</v>
      </c>
      <c r="U160" s="1">
        <f>(POWER(10,Calculate[[#This Row],[AFE_noise_ds]]/10)+POWER(10,Calculate[[#This Row],[Echo_res_ds]]/10))</f>
        <v>1.1236403313749242E-14</v>
      </c>
      <c r="V160" s="2">
        <f>10*LOG10(Calculate[[#This Row],[Linear_Noise_us]])</f>
        <v>-139.49372680845306</v>
      </c>
      <c r="W160" s="2">
        <f>10*LOG10(Calculate[[#This Row],[Linear_Noise_ds]])</f>
        <v>-139.49372680845306</v>
      </c>
      <c r="X160" s="2">
        <f>Calculate[[#This Row],[Rx_PSD_us]]-Calculate[[#This Row],[Noise_us]]</f>
        <v>8.7013016792708413</v>
      </c>
      <c r="Y160" s="2">
        <f>Calculate[[#This Row],[Rx_PSD_ds]]-Calculate[[#This Row],[Noise_ds]]</f>
        <v>8.7013016792708413</v>
      </c>
      <c r="Z160" s="2">
        <f>POWER(10,Calculate[[#This Row],[SNRdB_us]]/10)</f>
        <v>7.4153246212975086</v>
      </c>
      <c r="AA160" s="2">
        <f>POWER(10,Calculate[[#This Row],[SNRdB_ds]]/10)</f>
        <v>7.4153246212975086</v>
      </c>
      <c r="AB160" s="2">
        <f>-(0.002*Calculate[[#This Row],[Freq]]/1000000/2.5+0.68*(Calculate[[#This Row],[Freq]]/1000000/2.5)^0.45)</f>
        <v>-30.158881991899015</v>
      </c>
      <c r="AC160" s="2"/>
    </row>
    <row r="161" spans="1:29" x14ac:dyDescent="0.25">
      <c r="A161" s="33">
        <f t="shared" si="24"/>
        <v>7200000000</v>
      </c>
      <c r="B161" s="1">
        <f>Calculate[[#This Row],[Freq]]-A160</f>
        <v>45000000</v>
      </c>
      <c r="C161" s="1">
        <f>Channels!B161*cable_length</f>
        <v>-27.072042594902268</v>
      </c>
      <c r="D161" s="1">
        <f>Channels!C161*PCB_trace_length</f>
        <v>-2.4044344098839732</v>
      </c>
      <c r="E161" s="1">
        <f>Calculate[[#This Row],[IL_Cable]]+Calculate[[#This Row],[IL_PCB]]</f>
        <v>-29.47647700478624</v>
      </c>
      <c r="F161" s="2">
        <f>Masks!A161</f>
        <v>-101.49489582711355</v>
      </c>
      <c r="G161" s="2">
        <f>Masks!B161</f>
        <v>-101.49489582711355</v>
      </c>
      <c r="H161" s="2">
        <f>Calculate[[#This Row],[Tx_PSD_us]]+Calculate[[#This Row],[IL]]</f>
        <v>-130.9713728318998</v>
      </c>
      <c r="I161" s="2">
        <f>Calculate[[#This Row],[Tx_PSD_ds]]+Calculate[[#This Row],[IL]]</f>
        <v>-130.9713728318998</v>
      </c>
      <c r="J161" s="2">
        <f>Masks[[#This Row],[channel_echo]]</f>
        <v>-9.0174216835652672</v>
      </c>
      <c r="K161" s="2">
        <f>Masks[[#This Row],[channel_echo]]</f>
        <v>-9.0174216835652672</v>
      </c>
      <c r="L161" s="2">
        <f>Calculate[[#This Row],[Echo_transfer_us]]+Calculate[[#This Row],[Tx_PSD_ds]]</f>
        <v>-110.51231751067883</v>
      </c>
      <c r="M161" s="2">
        <f>Calculate[[#This Row],[Echo_transfer_ds]]+Calculate[[#This Row],[Tx_PSD_us]]</f>
        <v>-110.51231751067883</v>
      </c>
      <c r="N161" s="2">
        <f t="shared" si="20"/>
        <v>-140</v>
      </c>
      <c r="O161" s="2">
        <f t="shared" si="21"/>
        <v>-140</v>
      </c>
      <c r="P161" s="2">
        <f t="shared" si="22"/>
        <v>6</v>
      </c>
      <c r="Q161" s="2">
        <f t="shared" si="23"/>
        <v>6</v>
      </c>
      <c r="R161" s="2">
        <f>10*LOG10((10^(Calculate[[#This Row],[Rx_echo_us]]/10))-(10^((Masks[[#This Row],[connector_echo]]+Calculate[[#This Row],[Tx_PSD_ds]])/10))*EC_conector_ratio_us)-Calculate[[#This Row],[EC_cancelation_us]]</f>
        <v>-149.13570957377328</v>
      </c>
      <c r="S161" s="2">
        <f>10*LOG10((10^(Calculate[[#This Row],[Rx_echo_ds]]/10))-(10^((Masks[[#This Row],[connector_echo]]+Calculate[[#This Row],[Tx_PSD_us]])/10))*EC_conector_ratio_ds)-Calculate[[#This Row],[EC_cancelation_ds]]</f>
        <v>-149.13570957377328</v>
      </c>
      <c r="T161" s="1">
        <f>(POWER(10,Calculate[[#This Row],[AFE_noise_us]]/10)+POWER(10,Calculate[[#This Row],[Echo_res_us]]/10))</f>
        <v>1.1220194442500837E-14</v>
      </c>
      <c r="U161" s="1">
        <f>(POWER(10,Calculate[[#This Row],[AFE_noise_ds]]/10)+POWER(10,Calculate[[#This Row],[Echo_res_ds]]/10))</f>
        <v>1.1220194442500837E-14</v>
      </c>
      <c r="V161" s="2">
        <f>10*LOG10(Calculate[[#This Row],[Linear_Noise_us]])</f>
        <v>-139.49999616825539</v>
      </c>
      <c r="W161" s="2">
        <f>10*LOG10(Calculate[[#This Row],[Linear_Noise_ds]])</f>
        <v>-139.49999616825539</v>
      </c>
      <c r="X161" s="2">
        <f>Calculate[[#This Row],[Rx_PSD_us]]-Calculate[[#This Row],[Noise_us]]</f>
        <v>8.5286233363555937</v>
      </c>
      <c r="Y161" s="2">
        <f>Calculate[[#This Row],[Rx_PSD_ds]]-Calculate[[#This Row],[Noise_ds]]</f>
        <v>8.5286233363555937</v>
      </c>
      <c r="Z161" s="2">
        <f>POWER(10,Calculate[[#This Row],[SNRdB_us]]/10)</f>
        <v>7.1262709971110905</v>
      </c>
      <c r="AA161" s="2">
        <f>POWER(10,Calculate[[#This Row],[SNRdB_ds]]/10)</f>
        <v>7.1262709971110905</v>
      </c>
      <c r="AB161" s="2">
        <f>-(0.002*Calculate[[#This Row],[Freq]]/1000000/2.5+0.68*(Calculate[[#This Row],[Freq]]/1000000/2.5)^0.45)</f>
        <v>-30.263918097135068</v>
      </c>
      <c r="AC161" s="2"/>
    </row>
    <row r="162" spans="1:29" x14ac:dyDescent="0.25">
      <c r="A162" s="33">
        <f t="shared" si="24"/>
        <v>7245000000</v>
      </c>
      <c r="B162" s="1">
        <f>Calculate[[#This Row],[Freq]]-A161</f>
        <v>45000000</v>
      </c>
      <c r="C162" s="1">
        <f>Channels!B162*cable_length</f>
        <v>-27.179362515473436</v>
      </c>
      <c r="D162" s="1">
        <f>Channels!C162*PCB_trace_length</f>
        <v>-2.4185551068078071</v>
      </c>
      <c r="E162" s="1">
        <f>Calculate[[#This Row],[IL_Cable]]+Calculate[[#This Row],[IL_PCB]]</f>
        <v>-29.597917622281244</v>
      </c>
      <c r="F162" s="2">
        <f>Masks!A162</f>
        <v>-101.55274680630444</v>
      </c>
      <c r="G162" s="2">
        <f>Masks!B162</f>
        <v>-101.55274680630444</v>
      </c>
      <c r="H162" s="2">
        <f>Calculate[[#This Row],[Tx_PSD_us]]+Calculate[[#This Row],[IL]]</f>
        <v>-131.15066442858569</v>
      </c>
      <c r="I162" s="2">
        <f>Calculate[[#This Row],[Tx_PSD_ds]]+Calculate[[#This Row],[IL]]</f>
        <v>-131.15066442858569</v>
      </c>
      <c r="J162" s="2">
        <f>Masks[[#This Row],[channel_echo]]</f>
        <v>-8.9910057205916676</v>
      </c>
      <c r="K162" s="2">
        <f>Masks[[#This Row],[channel_echo]]</f>
        <v>-8.9910057205916676</v>
      </c>
      <c r="L162" s="2">
        <f>Calculate[[#This Row],[Echo_transfer_us]]+Calculate[[#This Row],[Tx_PSD_ds]]</f>
        <v>-110.54375252689611</v>
      </c>
      <c r="M162" s="2">
        <f>Calculate[[#This Row],[Echo_transfer_ds]]+Calculate[[#This Row],[Tx_PSD_us]]</f>
        <v>-110.54375252689611</v>
      </c>
      <c r="N162" s="2">
        <f t="shared" ref="N162:N193" si="25">AFE_noise_us</f>
        <v>-140</v>
      </c>
      <c r="O162" s="2">
        <f t="shared" ref="O162:O193" si="26">AFE_noise_ds</f>
        <v>-140</v>
      </c>
      <c r="P162" s="2">
        <f t="shared" ref="P162:P193" si="27">EC_cancel_us</f>
        <v>6</v>
      </c>
      <c r="Q162" s="2">
        <f t="shared" ref="Q162:Q193" si="28">EC_cancel_ds</f>
        <v>6</v>
      </c>
      <c r="R162" s="2">
        <f>10*LOG10((10^(Calculate[[#This Row],[Rx_echo_us]]/10))-(10^((Masks[[#This Row],[connector_echo]]+Calculate[[#This Row],[Tx_PSD_ds]])/10))*EC_conector_ratio_us)-Calculate[[#This Row],[EC_cancelation_us]]</f>
        <v>-149.19356055300511</v>
      </c>
      <c r="S162" s="2">
        <f>10*LOG10((10^(Calculate[[#This Row],[Rx_echo_ds]]/10))-(10^((Masks[[#This Row],[connector_echo]]+Calculate[[#This Row],[Tx_PSD_us]])/10))*EC_conector_ratio_ds)-Calculate[[#This Row],[EC_cancelation_ds]]</f>
        <v>-149.19356055300511</v>
      </c>
      <c r="T162" s="1">
        <f>(POWER(10,Calculate[[#This Row],[AFE_noise_us]]/10)+POWER(10,Calculate[[#This Row],[Echo_res_us]]/10))</f>
        <v>1.1204048399387221E-14</v>
      </c>
      <c r="U162" s="1">
        <f>(POWER(10,Calculate[[#This Row],[AFE_noise_ds]]/10)+POWER(10,Calculate[[#This Row],[Echo_res_ds]]/10))</f>
        <v>1.1204048399387221E-14</v>
      </c>
      <c r="V162" s="2">
        <f>10*LOG10(Calculate[[#This Row],[Linear_Noise_us]])</f>
        <v>-139.50625023773728</v>
      </c>
      <c r="W162" s="2">
        <f>10*LOG10(Calculate[[#This Row],[Linear_Noise_ds]])</f>
        <v>-139.50625023773728</v>
      </c>
      <c r="X162" s="2">
        <f>Calculate[[#This Row],[Rx_PSD_us]]-Calculate[[#This Row],[Noise_us]]</f>
        <v>8.3555858091515915</v>
      </c>
      <c r="Y162" s="2">
        <f>Calculate[[#This Row],[Rx_PSD_ds]]-Calculate[[#This Row],[Noise_ds]]</f>
        <v>8.3555858091515915</v>
      </c>
      <c r="Z162" s="2">
        <f>POWER(10,Calculate[[#This Row],[SNRdB_us]]/10)</f>
        <v>6.8479184675061555</v>
      </c>
      <c r="AA162" s="2">
        <f>POWER(10,Calculate[[#This Row],[SNRdB_ds]]/10)</f>
        <v>6.8479184675061555</v>
      </c>
      <c r="AB162" s="2">
        <f>-(0.002*Calculate[[#This Row],[Freq]]/1000000/2.5+0.68*(Calculate[[#This Row],[Freq]]/1000000/2.5)^0.45)</f>
        <v>-30.368717296208576</v>
      </c>
      <c r="AC162" s="2"/>
    </row>
    <row r="163" spans="1:29" x14ac:dyDescent="0.25">
      <c r="A163" s="33">
        <f t="shared" ref="A163:A194" si="29">f_step+A162</f>
        <v>7290000000</v>
      </c>
      <c r="B163" s="1">
        <f>Calculate[[#This Row],[Freq]]-A162</f>
        <v>45000000</v>
      </c>
      <c r="C163" s="1">
        <f>Channels!B163*cable_length</f>
        <v>-27.28649115444194</v>
      </c>
      <c r="D163" s="1">
        <f>Channels!C163*PCB_trace_length</f>
        <v>-2.4326730000000003</v>
      </c>
      <c r="E163" s="1">
        <f>Calculate[[#This Row],[IL_Cable]]+Calculate[[#This Row],[IL_PCB]]</f>
        <v>-29.719164154441941</v>
      </c>
      <c r="F163" s="2">
        <f>Masks!A163</f>
        <v>-101.61114254512712</v>
      </c>
      <c r="G163" s="2">
        <f>Masks!B163</f>
        <v>-101.61114254512712</v>
      </c>
      <c r="H163" s="2">
        <f>Calculate[[#This Row],[Tx_PSD_us]]+Calculate[[#This Row],[IL]]</f>
        <v>-131.33030669956906</v>
      </c>
      <c r="I163" s="2">
        <f>Calculate[[#This Row],[Tx_PSD_ds]]+Calculate[[#This Row],[IL]]</f>
        <v>-131.33030669956906</v>
      </c>
      <c r="J163" s="2">
        <f>Masks[[#This Row],[channel_echo]]</f>
        <v>-8.9647494618082426</v>
      </c>
      <c r="K163" s="2">
        <f>Masks[[#This Row],[channel_echo]]</f>
        <v>-8.9647494618082426</v>
      </c>
      <c r="L163" s="2">
        <f>Calculate[[#This Row],[Echo_transfer_us]]+Calculate[[#This Row],[Tx_PSD_ds]]</f>
        <v>-110.57589200693536</v>
      </c>
      <c r="M163" s="2">
        <f>Calculate[[#This Row],[Echo_transfer_ds]]+Calculate[[#This Row],[Tx_PSD_us]]</f>
        <v>-110.57589200693536</v>
      </c>
      <c r="N163" s="2">
        <f t="shared" si="25"/>
        <v>-140</v>
      </c>
      <c r="O163" s="2">
        <f t="shared" si="26"/>
        <v>-140</v>
      </c>
      <c r="P163" s="2">
        <f t="shared" si="27"/>
        <v>6</v>
      </c>
      <c r="Q163" s="2">
        <f t="shared" si="28"/>
        <v>6</v>
      </c>
      <c r="R163" s="2">
        <f>10*LOG10((10^(Calculate[[#This Row],[Rx_echo_us]]/10))-(10^((Masks[[#This Row],[connector_echo]]+Calculate[[#This Row],[Tx_PSD_ds]])/10))*EC_conector_ratio_us)-Calculate[[#This Row],[EC_cancelation_us]]</f>
        <v>-149.25195629175298</v>
      </c>
      <c r="S163" s="2">
        <f>10*LOG10((10^(Calculate[[#This Row],[Rx_echo_ds]]/10))-(10^((Masks[[#This Row],[connector_echo]]+Calculate[[#This Row],[Tx_PSD_us]])/10))*EC_conector_ratio_ds)-Calculate[[#This Row],[EC_cancelation_ds]]</f>
        <v>-149.25195629175298</v>
      </c>
      <c r="T163" s="1">
        <f>(POWER(10,Calculate[[#This Row],[AFE_noise_us]]/10)+POWER(10,Calculate[[#This Row],[Echo_res_us]]/10))</f>
        <v>1.1187966983813821E-14</v>
      </c>
      <c r="U163" s="1">
        <f>(POWER(10,Calculate[[#This Row],[AFE_noise_ds]]/10)+POWER(10,Calculate[[#This Row],[Echo_res_ds]]/10))</f>
        <v>1.1187966983813821E-14</v>
      </c>
      <c r="V163" s="2">
        <f>10*LOG10(Calculate[[#This Row],[Linear_Noise_us]])</f>
        <v>-139.51248823920875</v>
      </c>
      <c r="W163" s="2">
        <f>10*LOG10(Calculate[[#This Row],[Linear_Noise_ds]])</f>
        <v>-139.51248823920875</v>
      </c>
      <c r="X163" s="2">
        <f>Calculate[[#This Row],[Rx_PSD_us]]-Calculate[[#This Row],[Noise_us]]</f>
        <v>8.1821815396396858</v>
      </c>
      <c r="Y163" s="2">
        <f>Calculate[[#This Row],[Rx_PSD_ds]]-Calculate[[#This Row],[Noise_ds]]</f>
        <v>8.1821815396396858</v>
      </c>
      <c r="Z163" s="2">
        <f>POWER(10,Calculate[[#This Row],[SNRdB_us]]/10)</f>
        <v>6.5798827375312179</v>
      </c>
      <c r="AA163" s="2">
        <f>POWER(10,Calculate[[#This Row],[SNRdB_ds]]/10)</f>
        <v>6.5798827375312179</v>
      </c>
      <c r="AB163" s="2">
        <f>-(0.002*Calculate[[#This Row],[Freq]]/1000000/2.5+0.68*(Calculate[[#This Row],[Freq]]/1000000/2.5)^0.45)</f>
        <v>-30.473281866031197</v>
      </c>
      <c r="AC163" s="2"/>
    </row>
    <row r="164" spans="1:29" x14ac:dyDescent="0.25">
      <c r="A164" s="33">
        <f t="shared" si="29"/>
        <v>7335000000</v>
      </c>
      <c r="B164" s="1">
        <f>Calculate[[#This Row],[Freq]]-A163</f>
        <v>45000000</v>
      </c>
      <c r="C164" s="1">
        <f>Channels!B164*cable_length</f>
        <v>-27.393430280225818</v>
      </c>
      <c r="D164" s="1">
        <f>Channels!C164*PCB_trace_length</f>
        <v>-2.4467881153813389</v>
      </c>
      <c r="E164" s="1">
        <f>Calculate[[#This Row],[IL_Cable]]+Calculate[[#This Row],[IL_PCB]]</f>
        <v>-29.840218395607156</v>
      </c>
      <c r="F164" s="2">
        <f>Masks!A164</f>
        <v>-101.67008810300156</v>
      </c>
      <c r="G164" s="2">
        <f>Masks!B164</f>
        <v>-101.67008810300156</v>
      </c>
      <c r="H164" s="2">
        <f>Calculate[[#This Row],[Tx_PSD_us]]+Calculate[[#This Row],[IL]]</f>
        <v>-131.51030649860871</v>
      </c>
      <c r="I164" s="2">
        <f>Calculate[[#This Row],[Tx_PSD_ds]]+Calculate[[#This Row],[IL]]</f>
        <v>-131.51030649860871</v>
      </c>
      <c r="J164" s="2">
        <f>Masks[[#This Row],[channel_echo]]</f>
        <v>-8.9386509877519735</v>
      </c>
      <c r="K164" s="2">
        <f>Masks[[#This Row],[channel_echo]]</f>
        <v>-8.9386509877519735</v>
      </c>
      <c r="L164" s="2">
        <f>Calculate[[#This Row],[Echo_transfer_us]]+Calculate[[#This Row],[Tx_PSD_ds]]</f>
        <v>-110.60873909075353</v>
      </c>
      <c r="M164" s="2">
        <f>Calculate[[#This Row],[Echo_transfer_ds]]+Calculate[[#This Row],[Tx_PSD_us]]</f>
        <v>-110.60873909075353</v>
      </c>
      <c r="N164" s="2">
        <f t="shared" si="25"/>
        <v>-140</v>
      </c>
      <c r="O164" s="2">
        <f t="shared" si="26"/>
        <v>-140</v>
      </c>
      <c r="P164" s="2">
        <f t="shared" si="27"/>
        <v>6</v>
      </c>
      <c r="Q164" s="2">
        <f t="shared" si="28"/>
        <v>6</v>
      </c>
      <c r="R164" s="2">
        <f>10*LOG10((10^(Calculate[[#This Row],[Rx_echo_us]]/10))-(10^((Masks[[#This Row],[connector_echo]]+Calculate[[#This Row],[Tx_PSD_ds]])/10))*EC_conector_ratio_us)-Calculate[[#This Row],[EC_cancelation_us]]</f>
        <v>-149.31090184967701</v>
      </c>
      <c r="S164" s="2">
        <f>10*LOG10((10^(Calculate[[#This Row],[Rx_echo_ds]]/10))-(10^((Masks[[#This Row],[connector_echo]]+Calculate[[#This Row],[Tx_PSD_us]])/10))*EC_conector_ratio_ds)-Calculate[[#This Row],[EC_cancelation_ds]]</f>
        <v>-149.31090184967701</v>
      </c>
      <c r="T164" s="1">
        <f>(POWER(10,Calculate[[#This Row],[AFE_noise_us]]/10)+POWER(10,Calculate[[#This Row],[Echo_res_us]]/10))</f>
        <v>1.1171951974415854E-14</v>
      </c>
      <c r="U164" s="1">
        <f>(POWER(10,Calculate[[#This Row],[AFE_noise_ds]]/10)+POWER(10,Calculate[[#This Row],[Echo_res_ds]]/10))</f>
        <v>1.1171951974415854E-14</v>
      </c>
      <c r="V164" s="2">
        <f>10*LOG10(Calculate[[#This Row],[Linear_Noise_us]])</f>
        <v>-139.51870939896475</v>
      </c>
      <c r="W164" s="2">
        <f>10*LOG10(Calculate[[#This Row],[Linear_Noise_ds]])</f>
        <v>-139.51870939896475</v>
      </c>
      <c r="X164" s="2">
        <f>Calculate[[#This Row],[Rx_PSD_us]]-Calculate[[#This Row],[Noise_us]]</f>
        <v>8.0084029003560318</v>
      </c>
      <c r="Y164" s="2">
        <f>Calculate[[#This Row],[Rx_PSD_ds]]-Calculate[[#This Row],[Noise_ds]]</f>
        <v>8.0084029003560318</v>
      </c>
      <c r="Z164" s="2">
        <f>POWER(10,Calculate[[#This Row],[SNRdB_us]]/10)</f>
        <v>6.3217932734210285</v>
      </c>
      <c r="AA164" s="2">
        <f>POWER(10,Calculate[[#This Row],[SNRdB_ds]]/10)</f>
        <v>6.3217932734210285</v>
      </c>
      <c r="AB164" s="2">
        <f>-(0.002*Calculate[[#This Row],[Freq]]/1000000/2.5+0.68*(Calculate[[#This Row],[Freq]]/1000000/2.5)^0.45)</f>
        <v>-30.577614047734421</v>
      </c>
      <c r="AC164" s="2"/>
    </row>
    <row r="165" spans="1:29" x14ac:dyDescent="0.25">
      <c r="A165" s="33">
        <f t="shared" si="29"/>
        <v>7380000000</v>
      </c>
      <c r="B165" s="1">
        <f>Calculate[[#This Row],[Freq]]-A164</f>
        <v>45000000</v>
      </c>
      <c r="C165" s="1">
        <f>Channels!B165*cable_length</f>
        <v>-27.500181634161216</v>
      </c>
      <c r="D165" s="1">
        <f>Channels!C165*PCB_trace_length</f>
        <v>-2.460900478475653</v>
      </c>
      <c r="E165" s="1">
        <f>Calculate[[#This Row],[IL_Cable]]+Calculate[[#This Row],[IL_PCB]]</f>
        <v>-29.96108211263687</v>
      </c>
      <c r="F165" s="2">
        <f>Masks!A165</f>
        <v>-101.72958864351557</v>
      </c>
      <c r="G165" s="2">
        <f>Masks!B165</f>
        <v>-101.72958864351557</v>
      </c>
      <c r="H165" s="2">
        <f>Calculate[[#This Row],[Tx_PSD_us]]+Calculate[[#This Row],[IL]]</f>
        <v>-131.69067075615243</v>
      </c>
      <c r="I165" s="2">
        <f>Calculate[[#This Row],[Tx_PSD_ds]]+Calculate[[#This Row],[IL]]</f>
        <v>-131.69067075615243</v>
      </c>
      <c r="J165" s="2">
        <f>Masks[[#This Row],[channel_echo]]</f>
        <v>-8.9127084133578887</v>
      </c>
      <c r="K165" s="2">
        <f>Masks[[#This Row],[channel_echo]]</f>
        <v>-8.9127084133578887</v>
      </c>
      <c r="L165" s="2">
        <f>Calculate[[#This Row],[Echo_transfer_us]]+Calculate[[#This Row],[Tx_PSD_ds]]</f>
        <v>-110.64229705687346</v>
      </c>
      <c r="M165" s="2">
        <f>Calculate[[#This Row],[Echo_transfer_ds]]+Calculate[[#This Row],[Tx_PSD_us]]</f>
        <v>-110.64229705687346</v>
      </c>
      <c r="N165" s="2">
        <f t="shared" si="25"/>
        <v>-140</v>
      </c>
      <c r="O165" s="2">
        <f t="shared" si="26"/>
        <v>-140</v>
      </c>
      <c r="P165" s="2">
        <f t="shared" si="27"/>
        <v>6</v>
      </c>
      <c r="Q165" s="2">
        <f t="shared" si="28"/>
        <v>6</v>
      </c>
      <c r="R165" s="2">
        <f>10*LOG10((10^(Calculate[[#This Row],[Rx_echo_us]]/10))-(10^((Masks[[#This Row],[connector_echo]]+Calculate[[#This Row],[Tx_PSD_ds]])/10))*EC_conector_ratio_us)-Calculate[[#This Row],[EC_cancelation_us]]</f>
        <v>-149.370402390187</v>
      </c>
      <c r="S165" s="2">
        <f>10*LOG10((10^(Calculate[[#This Row],[Rx_echo_ds]]/10))-(10^((Masks[[#This Row],[connector_echo]]+Calculate[[#This Row],[Tx_PSD_us]])/10))*EC_conector_ratio_ds)-Calculate[[#This Row],[EC_cancelation_ds]]</f>
        <v>-149.370402390187</v>
      </c>
      <c r="T165" s="1">
        <f>(POWER(10,Calculate[[#This Row],[AFE_noise_us]]/10)+POWER(10,Calculate[[#This Row],[Echo_res_us]]/10))</f>
        <v>1.1156005129002834E-14</v>
      </c>
      <c r="U165" s="1">
        <f>(POWER(10,Calculate[[#This Row],[AFE_noise_ds]]/10)+POWER(10,Calculate[[#This Row],[Echo_res_ds]]/10))</f>
        <v>1.1156005129002834E-14</v>
      </c>
      <c r="V165" s="2">
        <f>10*LOG10(Calculate[[#This Row],[Linear_Noise_us]])</f>
        <v>-139.52491294737908</v>
      </c>
      <c r="W165" s="2">
        <f>10*LOG10(Calculate[[#This Row],[Linear_Noise_ds]])</f>
        <v>-139.52491294737908</v>
      </c>
      <c r="X165" s="2">
        <f>Calculate[[#This Row],[Rx_PSD_us]]-Calculate[[#This Row],[Noise_us]]</f>
        <v>7.8342421912266502</v>
      </c>
      <c r="Y165" s="2">
        <f>Calculate[[#This Row],[Rx_PSD_ds]]-Calculate[[#This Row],[Noise_ds]]</f>
        <v>7.8342421912266502</v>
      </c>
      <c r="Z165" s="2">
        <f>POWER(10,Calculate[[#This Row],[SNRdB_us]]/10)</f>
        <v>6.0732927956609384</v>
      </c>
      <c r="AA165" s="2">
        <f>POWER(10,Calculate[[#This Row],[SNRdB_ds]]/10)</f>
        <v>6.0732927956609384</v>
      </c>
      <c r="AB165" s="2">
        <f>-(0.002*Calculate[[#This Row],[Freq]]/1000000/2.5+0.68*(Calculate[[#This Row],[Freq]]/1000000/2.5)^0.45)</f>
        <v>-30.681716047447605</v>
      </c>
      <c r="AC165" s="2"/>
    </row>
    <row r="166" spans="1:29" x14ac:dyDescent="0.25">
      <c r="A166" s="33">
        <f t="shared" si="29"/>
        <v>7425000000</v>
      </c>
      <c r="B166" s="1">
        <f>Calculate[[#This Row],[Freq]]-A165</f>
        <v>45000000</v>
      </c>
      <c r="C166" s="1">
        <f>Channels!B166*cable_length</f>
        <v>-27.606746931079485</v>
      </c>
      <c r="D166" s="1">
        <f>Channels!C166*PCB_trace_length</f>
        <v>-2.4750101144182763</v>
      </c>
      <c r="E166" s="1">
        <f>Calculate[[#This Row],[IL_Cable]]+Calculate[[#This Row],[IL_PCB]]</f>
        <v>-30.08175704549776</v>
      </c>
      <c r="F166" s="2">
        <f>Masks!A166</f>
        <v>-101.78964943717202</v>
      </c>
      <c r="G166" s="2">
        <f>Masks!B166</f>
        <v>-101.78964943717202</v>
      </c>
      <c r="H166" s="2">
        <f>Calculate[[#This Row],[Tx_PSD_us]]+Calculate[[#This Row],[IL]]</f>
        <v>-131.87140648266978</v>
      </c>
      <c r="I166" s="2">
        <f>Calculate[[#This Row],[Tx_PSD_ds]]+Calculate[[#This Row],[IL]]</f>
        <v>-131.87140648266978</v>
      </c>
      <c r="J166" s="2">
        <f>Masks[[#This Row],[channel_echo]]</f>
        <v>-8.8869198871420068</v>
      </c>
      <c r="K166" s="2">
        <f>Masks[[#This Row],[channel_echo]]</f>
        <v>-8.8869198871420068</v>
      </c>
      <c r="L166" s="2">
        <f>Calculate[[#This Row],[Echo_transfer_us]]+Calculate[[#This Row],[Tx_PSD_ds]]</f>
        <v>-110.67656932431402</v>
      </c>
      <c r="M166" s="2">
        <f>Calculate[[#This Row],[Echo_transfer_ds]]+Calculate[[#This Row],[Tx_PSD_us]]</f>
        <v>-110.67656932431402</v>
      </c>
      <c r="N166" s="2">
        <f t="shared" si="25"/>
        <v>-140</v>
      </c>
      <c r="O166" s="2">
        <f t="shared" si="26"/>
        <v>-140</v>
      </c>
      <c r="P166" s="2">
        <f t="shared" si="27"/>
        <v>6</v>
      </c>
      <c r="Q166" s="2">
        <f t="shared" si="28"/>
        <v>6</v>
      </c>
      <c r="R166" s="2">
        <f>10*LOG10((10^(Calculate[[#This Row],[Rx_echo_us]]/10))-(10^((Masks[[#This Row],[connector_echo]]+Calculate[[#This Row],[Tx_PSD_ds]])/10))*EC_conector_ratio_us)-Calculate[[#This Row],[EC_cancelation_us]]</f>
        <v>-149.43046318378941</v>
      </c>
      <c r="S166" s="2">
        <f>10*LOG10((10^(Calculate[[#This Row],[Rx_echo_ds]]/10))-(10^((Masks[[#This Row],[connector_echo]]+Calculate[[#This Row],[Tx_PSD_us]])/10))*EC_conector_ratio_ds)-Calculate[[#This Row],[EC_cancelation_ds]]</f>
        <v>-149.43046318378941</v>
      </c>
      <c r="T166" s="1">
        <f>(POWER(10,Calculate[[#This Row],[AFE_noise_us]]/10)+POWER(10,Calculate[[#This Row],[Echo_res_us]]/10))</f>
        <v>1.1140128184115435E-14</v>
      </c>
      <c r="U166" s="1">
        <f>(POWER(10,Calculate[[#This Row],[AFE_noise_ds]]/10)+POWER(10,Calculate[[#This Row],[Echo_res_ds]]/10))</f>
        <v>1.1140128184115435E-14</v>
      </c>
      <c r="V166" s="2">
        <f>10*LOG10(Calculate[[#This Row],[Linear_Noise_us]])</f>
        <v>-139.53109811915098</v>
      </c>
      <c r="W166" s="2">
        <f>10*LOG10(Calculate[[#This Row],[Linear_Noise_ds]])</f>
        <v>-139.53109811915098</v>
      </c>
      <c r="X166" s="2">
        <f>Calculate[[#This Row],[Rx_PSD_us]]-Calculate[[#This Row],[Noise_us]]</f>
        <v>7.6596916364811989</v>
      </c>
      <c r="Y166" s="2">
        <f>Calculate[[#This Row],[Rx_PSD_ds]]-Calculate[[#This Row],[Noise_ds]]</f>
        <v>7.6596916364811989</v>
      </c>
      <c r="Z166" s="2">
        <f>POWER(10,Calculate[[#This Row],[SNRdB_us]]/10)</f>
        <v>5.8340367920255183</v>
      </c>
      <c r="AA166" s="2">
        <f>POWER(10,Calculate[[#This Row],[SNRdB_ds]]/10)</f>
        <v>5.8340367920255183</v>
      </c>
      <c r="AB166" s="2">
        <f>-(0.002*Calculate[[#This Row],[Freq]]/1000000/2.5+0.68*(Calculate[[#This Row],[Freq]]/1000000/2.5)^0.45)</f>
        <v>-30.785590037054334</v>
      </c>
      <c r="AC166" s="2"/>
    </row>
    <row r="167" spans="1:29" x14ac:dyDescent="0.25">
      <c r="A167" s="33">
        <f t="shared" si="29"/>
        <v>7470000000</v>
      </c>
      <c r="B167" s="1">
        <f>Calculate[[#This Row],[Freq]]-A166</f>
        <v>45000000</v>
      </c>
      <c r="C167" s="1">
        <f>Channels!B167*cable_length</f>
        <v>-27.713127859868582</v>
      </c>
      <c r="D167" s="1">
        <f>Channels!C167*PCB_trace_length</f>
        <v>-2.4891170479642755</v>
      </c>
      <c r="E167" s="1">
        <f>Calculate[[#This Row],[IL_Cable]]+Calculate[[#This Row],[IL_PCB]]</f>
        <v>-30.202244907832856</v>
      </c>
      <c r="F167" s="2">
        <f>Masks!A167</f>
        <v>-101.85027586422964</v>
      </c>
      <c r="G167" s="2">
        <f>Masks!B167</f>
        <v>-101.85027586422964</v>
      </c>
      <c r="H167" s="2">
        <f>Calculate[[#This Row],[Tx_PSD_us]]+Calculate[[#This Row],[IL]]</f>
        <v>-132.05252077206251</v>
      </c>
      <c r="I167" s="2">
        <f>Calculate[[#This Row],[Tx_PSD_ds]]+Calculate[[#This Row],[IL]]</f>
        <v>-132.05252077206251</v>
      </c>
      <c r="J167" s="2">
        <f>Masks[[#This Row],[channel_echo]]</f>
        <v>-8.8612835904084442</v>
      </c>
      <c r="K167" s="2">
        <f>Masks[[#This Row],[channel_echo]]</f>
        <v>-8.8612835904084442</v>
      </c>
      <c r="L167" s="2">
        <f>Calculate[[#This Row],[Echo_transfer_us]]+Calculate[[#This Row],[Tx_PSD_ds]]</f>
        <v>-110.71155945463809</v>
      </c>
      <c r="M167" s="2">
        <f>Calculate[[#This Row],[Echo_transfer_ds]]+Calculate[[#This Row],[Tx_PSD_us]]</f>
        <v>-110.71155945463809</v>
      </c>
      <c r="N167" s="2">
        <f t="shared" si="25"/>
        <v>-140</v>
      </c>
      <c r="O167" s="2">
        <f t="shared" si="26"/>
        <v>-140</v>
      </c>
      <c r="P167" s="2">
        <f t="shared" si="27"/>
        <v>6</v>
      </c>
      <c r="Q167" s="2">
        <f t="shared" si="28"/>
        <v>6</v>
      </c>
      <c r="R167" s="2">
        <f>10*LOG10((10^(Calculate[[#This Row],[Rx_echo_us]]/10))-(10^((Masks[[#This Row],[connector_echo]]+Calculate[[#This Row],[Tx_PSD_ds]])/10))*EC_conector_ratio_us)-Calculate[[#This Row],[EC_cancelation_us]]</f>
        <v>-149.49108961089291</v>
      </c>
      <c r="S167" s="2">
        <f>10*LOG10((10^(Calculate[[#This Row],[Rx_echo_ds]]/10))-(10^((Masks[[#This Row],[connector_echo]]+Calculate[[#This Row],[Tx_PSD_us]])/10))*EC_conector_ratio_ds)-Calculate[[#This Row],[EC_cancelation_ds]]</f>
        <v>-149.49108961089291</v>
      </c>
      <c r="T167" s="1">
        <f>(POWER(10,Calculate[[#This Row],[AFE_noise_us]]/10)+POWER(10,Calculate[[#This Row],[Echo_res_us]]/10))</f>
        <v>1.1124322854765686E-14</v>
      </c>
      <c r="U167" s="1">
        <f>(POWER(10,Calculate[[#This Row],[AFE_noise_ds]]/10)+POWER(10,Calculate[[#This Row],[Echo_res_ds]]/10))</f>
        <v>1.1124322854765686E-14</v>
      </c>
      <c r="V167" s="2">
        <f>10*LOG10(Calculate[[#This Row],[Linear_Noise_us]])</f>
        <v>-139.53726415348288</v>
      </c>
      <c r="W167" s="2">
        <f>10*LOG10(Calculate[[#This Row],[Linear_Noise_ds]])</f>
        <v>-139.53726415348288</v>
      </c>
      <c r="X167" s="2">
        <f>Calculate[[#This Row],[Rx_PSD_us]]-Calculate[[#This Row],[Noise_us]]</f>
        <v>7.4847433814203725</v>
      </c>
      <c r="Y167" s="2">
        <f>Calculate[[#This Row],[Rx_PSD_ds]]-Calculate[[#This Row],[Noise_ds]]</f>
        <v>7.4847433814203725</v>
      </c>
      <c r="Z167" s="2">
        <f>POWER(10,Calculate[[#This Row],[SNRdB_us]]/10)</f>
        <v>5.6036930494169654</v>
      </c>
      <c r="AA167" s="2">
        <f>POWER(10,Calculate[[#This Row],[SNRdB_ds]]/10)</f>
        <v>5.6036930494169654</v>
      </c>
      <c r="AB167" s="2">
        <f>-(0.002*Calculate[[#This Row],[Freq]]/1000000/2.5+0.68*(Calculate[[#This Row],[Freq]]/1000000/2.5)^0.45)</f>
        <v>-30.889238154928034</v>
      </c>
      <c r="AC167" s="2"/>
    </row>
    <row r="168" spans="1:29" x14ac:dyDescent="0.25">
      <c r="A168" s="33">
        <f t="shared" si="29"/>
        <v>7515000000</v>
      </c>
      <c r="B168" s="1">
        <f>Calculate[[#This Row],[Freq]]-A167</f>
        <v>45000000</v>
      </c>
      <c r="C168" s="1">
        <f>Channels!B168*cable_length</f>
        <v>-27.819326084019245</v>
      </c>
      <c r="D168" s="1">
        <f>Channels!C168*PCB_trace_length</f>
        <v>-2.5032213034964532</v>
      </c>
      <c r="E168" s="1">
        <f>Calculate[[#This Row],[IL_Cable]]+Calculate[[#This Row],[IL_PCB]]</f>
        <v>-30.322547387515698</v>
      </c>
      <c r="F168" s="2">
        <f>Masks!A168</f>
        <v>-101.91147341764135</v>
      </c>
      <c r="G168" s="2">
        <f>Masks!B168</f>
        <v>-101.91147341764135</v>
      </c>
      <c r="H168" s="2">
        <f>Calculate[[#This Row],[Tx_PSD_us]]+Calculate[[#This Row],[IL]]</f>
        <v>-132.23402080515706</v>
      </c>
      <c r="I168" s="2">
        <f>Calculate[[#This Row],[Tx_PSD_ds]]+Calculate[[#This Row],[IL]]</f>
        <v>-132.23402080515706</v>
      </c>
      <c r="J168" s="2">
        <f>Masks[[#This Row],[channel_echo]]</f>
        <v>-8.8357977364797389</v>
      </c>
      <c r="K168" s="2">
        <f>Masks[[#This Row],[channel_echo]]</f>
        <v>-8.8357977364797389</v>
      </c>
      <c r="L168" s="2">
        <f>Calculate[[#This Row],[Echo_transfer_us]]+Calculate[[#This Row],[Tx_PSD_ds]]</f>
        <v>-110.74727115412108</v>
      </c>
      <c r="M168" s="2">
        <f>Calculate[[#This Row],[Echo_transfer_ds]]+Calculate[[#This Row],[Tx_PSD_us]]</f>
        <v>-110.74727115412108</v>
      </c>
      <c r="N168" s="2">
        <f t="shared" si="25"/>
        <v>-140</v>
      </c>
      <c r="O168" s="2">
        <f t="shared" si="26"/>
        <v>-140</v>
      </c>
      <c r="P168" s="2">
        <f t="shared" si="27"/>
        <v>6</v>
      </c>
      <c r="Q168" s="2">
        <f t="shared" si="28"/>
        <v>6</v>
      </c>
      <c r="R168" s="2">
        <f>10*LOG10((10^(Calculate[[#This Row],[Rx_echo_us]]/10))-(10^((Masks[[#This Row],[connector_echo]]+Calculate[[#This Row],[Tx_PSD_ds]])/10))*EC_conector_ratio_us)-Calculate[[#This Row],[EC_cancelation_us]]</f>
        <v>-149.55228716429767</v>
      </c>
      <c r="S168" s="2">
        <f>10*LOG10((10^(Calculate[[#This Row],[Rx_echo_ds]]/10))-(10^((Masks[[#This Row],[connector_echo]]+Calculate[[#This Row],[Tx_PSD_us]])/10))*EC_conector_ratio_ds)-Calculate[[#This Row],[EC_cancelation_ds]]</f>
        <v>-149.55228716429767</v>
      </c>
      <c r="T168" s="1">
        <f>(POWER(10,Calculate[[#This Row],[AFE_noise_us]]/10)+POWER(10,Calculate[[#This Row],[Echo_res_us]]/10))</f>
        <v>1.1108590834287692E-14</v>
      </c>
      <c r="U168" s="1">
        <f>(POWER(10,Calculate[[#This Row],[AFE_noise_ds]]/10)+POWER(10,Calculate[[#This Row],[Echo_res_ds]]/10))</f>
        <v>1.1108590834287692E-14</v>
      </c>
      <c r="V168" s="2">
        <f>10*LOG10(Calculate[[#This Row],[Linear_Noise_us]])</f>
        <v>-139.54341029421695</v>
      </c>
      <c r="W168" s="2">
        <f>10*LOG10(Calculate[[#This Row],[Linear_Noise_ds]])</f>
        <v>-139.54341029421695</v>
      </c>
      <c r="X168" s="2">
        <f>Calculate[[#This Row],[Rx_PSD_us]]-Calculate[[#This Row],[Noise_us]]</f>
        <v>7.3093894890598961</v>
      </c>
      <c r="Y168" s="2">
        <f>Calculate[[#This Row],[Rx_PSD_ds]]-Calculate[[#This Row],[Noise_ds]]</f>
        <v>7.3093894890598961</v>
      </c>
      <c r="Z168" s="2">
        <f>POWER(10,Calculate[[#This Row],[SNRdB_us]]/10)</f>
        <v>5.3819412037738896</v>
      </c>
      <c r="AA168" s="2">
        <f>POWER(10,Calculate[[#This Row],[SNRdB_ds]]/10)</f>
        <v>5.3819412037738896</v>
      </c>
      <c r="AB168" s="2">
        <f>-(0.002*Calculate[[#This Row],[Freq]]/1000000/2.5+0.68*(Calculate[[#This Row],[Freq]]/1000000/2.5)^0.45)</f>
        <v>-30.992662506647495</v>
      </c>
      <c r="AC168" s="2"/>
    </row>
    <row r="169" spans="1:29" x14ac:dyDescent="0.25">
      <c r="A169" s="33">
        <f t="shared" si="29"/>
        <v>7560000000</v>
      </c>
      <c r="B169" s="1">
        <f>Calculate[[#This Row],[Freq]]-A168</f>
        <v>45000000</v>
      </c>
      <c r="C169" s="1">
        <f>Channels!B169*cable_length</f>
        <v>-27.92534324215648</v>
      </c>
      <c r="D169" s="1">
        <f>Channels!C169*PCB_trace_length</f>
        <v>-2.5173229050331387</v>
      </c>
      <c r="E169" s="1">
        <f>Calculate[[#This Row],[IL_Cable]]+Calculate[[#This Row],[IL_PCB]]</f>
        <v>-30.44266614718962</v>
      </c>
      <c r="F169" s="2">
        <f>Masks!A169</f>
        <v>-101.973247706094</v>
      </c>
      <c r="G169" s="2">
        <f>Masks!B169</f>
        <v>-101.973247706094</v>
      </c>
      <c r="H169" s="2">
        <f>Calculate[[#This Row],[Tx_PSD_us]]+Calculate[[#This Row],[IL]]</f>
        <v>-132.41591385328363</v>
      </c>
      <c r="I169" s="2">
        <f>Calculate[[#This Row],[Tx_PSD_ds]]+Calculate[[#This Row],[IL]]</f>
        <v>-132.41591385328363</v>
      </c>
      <c r="J169" s="2">
        <f>Masks[[#This Row],[channel_echo]]</f>
        <v>-8.8104605699496474</v>
      </c>
      <c r="K169" s="2">
        <f>Masks[[#This Row],[channel_echo]]</f>
        <v>-8.8104605699496474</v>
      </c>
      <c r="L169" s="2">
        <f>Calculate[[#This Row],[Echo_transfer_us]]+Calculate[[#This Row],[Tx_PSD_ds]]</f>
        <v>-110.78370827604365</v>
      </c>
      <c r="M169" s="2">
        <f>Calculate[[#This Row],[Echo_transfer_ds]]+Calculate[[#This Row],[Tx_PSD_us]]</f>
        <v>-110.78370827604365</v>
      </c>
      <c r="N169" s="2">
        <f t="shared" si="25"/>
        <v>-140</v>
      </c>
      <c r="O169" s="2">
        <f t="shared" si="26"/>
        <v>-140</v>
      </c>
      <c r="P169" s="2">
        <f t="shared" si="27"/>
        <v>6</v>
      </c>
      <c r="Q169" s="2">
        <f t="shared" si="28"/>
        <v>6</v>
      </c>
      <c r="R169" s="2">
        <f>10*LOG10((10^(Calculate[[#This Row],[Rx_echo_us]]/10))-(10^((Masks[[#This Row],[connector_echo]]+Calculate[[#This Row],[Tx_PSD_ds]])/10))*EC_conector_ratio_us)-Calculate[[#This Row],[EC_cancelation_us]]</f>
        <v>-149.61406145276553</v>
      </c>
      <c r="S169" s="2">
        <f>10*LOG10((10^(Calculate[[#This Row],[Rx_echo_ds]]/10))-(10^((Masks[[#This Row],[connector_echo]]+Calculate[[#This Row],[Tx_PSD_us]])/10))*EC_conector_ratio_ds)-Calculate[[#This Row],[EC_cancelation_ds]]</f>
        <v>-149.61406145276553</v>
      </c>
      <c r="T169" s="1">
        <f>(POWER(10,Calculate[[#This Row],[AFE_noise_us]]/10)+POWER(10,Calculate[[#This Row],[Echo_res_us]]/10))</f>
        <v>1.1092933793937895E-14</v>
      </c>
      <c r="U169" s="1">
        <f>(POWER(10,Calculate[[#This Row],[AFE_noise_ds]]/10)+POWER(10,Calculate[[#This Row],[Echo_res_ds]]/10))</f>
        <v>1.1092933793937895E-14</v>
      </c>
      <c r="V169" s="2">
        <f>10*LOG10(Calculate[[#This Row],[Linear_Noise_us]])</f>
        <v>-139.54953579007184</v>
      </c>
      <c r="W169" s="2">
        <f>10*LOG10(Calculate[[#This Row],[Linear_Noise_ds]])</f>
        <v>-139.54953579007184</v>
      </c>
      <c r="X169" s="2">
        <f>Calculate[[#This Row],[Rx_PSD_us]]-Calculate[[#This Row],[Noise_us]]</f>
        <v>7.1336219367882165</v>
      </c>
      <c r="Y169" s="2">
        <f>Calculate[[#This Row],[Rx_PSD_ds]]-Calculate[[#This Row],[Noise_ds]]</f>
        <v>7.1336219367882165</v>
      </c>
      <c r="Z169" s="2">
        <f>POWER(10,Calculate[[#This Row],[SNRdB_us]]/10)</f>
        <v>5.1684723074785186</v>
      </c>
      <c r="AA169" s="2">
        <f>POWER(10,Calculate[[#This Row],[SNRdB_ds]]/10)</f>
        <v>5.1684723074785186</v>
      </c>
      <c r="AB169" s="2">
        <f>-(0.002*Calculate[[#This Row],[Freq]]/1000000/2.5+0.68*(Calculate[[#This Row],[Freq]]/1000000/2.5)^0.45)</f>
        <v>-31.095865165692743</v>
      </c>
      <c r="AC169" s="2"/>
    </row>
    <row r="170" spans="1:29" x14ac:dyDescent="0.25">
      <c r="A170" s="33">
        <f t="shared" si="29"/>
        <v>7605000000</v>
      </c>
      <c r="B170" s="1">
        <f>Calculate[[#This Row],[Freq]]-A169</f>
        <v>45000000</v>
      </c>
      <c r="C170" s="1">
        <f>Channels!B170*cable_length</f>
        <v>-28.031180948556852</v>
      </c>
      <c r="D170" s="1">
        <f>Channels!C170*PCB_trace_length</f>
        <v>-2.5314218762357741</v>
      </c>
      <c r="E170" s="1">
        <f>Calculate[[#This Row],[IL_Cable]]+Calculate[[#This Row],[IL_PCB]]</f>
        <v>-30.562602824792627</v>
      </c>
      <c r="F170" s="2">
        <f>Masks!A170</f>
        <v>-102.03560445715382</v>
      </c>
      <c r="G170" s="2">
        <f>Masks!B170</f>
        <v>-102.03560445715382</v>
      </c>
      <c r="H170" s="2">
        <f>Calculate[[#This Row],[Tx_PSD_us]]+Calculate[[#This Row],[IL]]</f>
        <v>-132.59820728194646</v>
      </c>
      <c r="I170" s="2">
        <f>Calculate[[#This Row],[Tx_PSD_ds]]+Calculate[[#This Row],[IL]]</f>
        <v>-132.59820728194646</v>
      </c>
      <c r="J170" s="2">
        <f>Masks[[#This Row],[channel_echo]]</f>
        <v>-8.7852703659576239</v>
      </c>
      <c r="K170" s="2">
        <f>Masks[[#This Row],[channel_echo]]</f>
        <v>-8.7852703659576239</v>
      </c>
      <c r="L170" s="2">
        <f>Calculate[[#This Row],[Echo_transfer_us]]+Calculate[[#This Row],[Tx_PSD_ds]]</f>
        <v>-110.82087482311145</v>
      </c>
      <c r="M170" s="2">
        <f>Calculate[[#This Row],[Echo_transfer_ds]]+Calculate[[#This Row],[Tx_PSD_us]]</f>
        <v>-110.82087482311145</v>
      </c>
      <c r="N170" s="2">
        <f t="shared" si="25"/>
        <v>-140</v>
      </c>
      <c r="O170" s="2">
        <f t="shared" si="26"/>
        <v>-140</v>
      </c>
      <c r="P170" s="2">
        <f t="shared" si="27"/>
        <v>6</v>
      </c>
      <c r="Q170" s="2">
        <f t="shared" si="28"/>
        <v>6</v>
      </c>
      <c r="R170" s="2">
        <f>10*LOG10((10^(Calculate[[#This Row],[Rx_echo_us]]/10))-(10^((Masks[[#This Row],[connector_echo]]+Calculate[[#This Row],[Tx_PSD_ds]])/10))*EC_conector_ratio_us)-Calculate[[#This Row],[EC_cancelation_us]]</f>
        <v>-149.67641820384475</v>
      </c>
      <c r="S170" s="2">
        <f>10*LOG10((10^(Calculate[[#This Row],[Rx_echo_ds]]/10))-(10^((Masks[[#This Row],[connector_echo]]+Calculate[[#This Row],[Tx_PSD_us]])/10))*EC_conector_ratio_ds)-Calculate[[#This Row],[EC_cancelation_ds]]</f>
        <v>-149.67641820384475</v>
      </c>
      <c r="T170" s="1">
        <f>(POWER(10,Calculate[[#This Row],[AFE_noise_us]]/10)+POWER(10,Calculate[[#This Row],[Echo_res_us]]/10))</f>
        <v>1.1077353382723811E-14</v>
      </c>
      <c r="U170" s="1">
        <f>(POWER(10,Calculate[[#This Row],[AFE_noise_ds]]/10)+POWER(10,Calculate[[#This Row],[Echo_res_ds]]/10))</f>
        <v>1.1077353382723811E-14</v>
      </c>
      <c r="V170" s="2">
        <f>10*LOG10(Calculate[[#This Row],[Linear_Noise_us]])</f>
        <v>-139.55563989479188</v>
      </c>
      <c r="W170" s="2">
        <f>10*LOG10(Calculate[[#This Row],[Linear_Noise_ds]])</f>
        <v>-139.55563989479188</v>
      </c>
      <c r="X170" s="2">
        <f>Calculate[[#This Row],[Rx_PSD_us]]-Calculate[[#This Row],[Noise_us]]</f>
        <v>6.9574326128454231</v>
      </c>
      <c r="Y170" s="2">
        <f>Calculate[[#This Row],[Rx_PSD_ds]]-Calculate[[#This Row],[Noise_ds]]</f>
        <v>6.9574326128454231</v>
      </c>
      <c r="Z170" s="2">
        <f>POWER(10,Calculate[[#This Row],[SNRdB_us]]/10)</f>
        <v>4.9629884132922069</v>
      </c>
      <c r="AA170" s="2">
        <f>POWER(10,Calculate[[#This Row],[SNRdB_ds]]/10)</f>
        <v>4.9629884132922069</v>
      </c>
      <c r="AB170" s="2">
        <f>-(0.002*Calculate[[#This Row],[Freq]]/1000000/2.5+0.68*(Calculate[[#This Row],[Freq]]/1000000/2.5)^0.45)</f>
        <v>-31.198848174122308</v>
      </c>
      <c r="AC170" s="2"/>
    </row>
    <row r="171" spans="1:29" x14ac:dyDescent="0.25">
      <c r="A171" s="33">
        <f t="shared" si="29"/>
        <v>7650000000</v>
      </c>
      <c r="B171" s="1">
        <f>Calculate[[#This Row],[Freq]]-A170</f>
        <v>45000000</v>
      </c>
      <c r="C171" s="1">
        <f>Channels!B171*cable_length</f>
        <v>-28.136840793652013</v>
      </c>
      <c r="D171" s="1">
        <f>Channels!C171*PCB_trace_length</f>
        <v>-2.5455182404162899</v>
      </c>
      <c r="E171" s="1">
        <f>Calculate[[#This Row],[IL_Cable]]+Calculate[[#This Row],[IL_PCB]]</f>
        <v>-30.682359034068302</v>
      </c>
      <c r="F171" s="2">
        <f>Masks!A171</f>
        <v>-102.09854952052203</v>
      </c>
      <c r="G171" s="2">
        <f>Masks!B171</f>
        <v>-102.09854952052203</v>
      </c>
      <c r="H171" s="2">
        <f>Calculate[[#This Row],[Tx_PSD_us]]+Calculate[[#This Row],[IL]]</f>
        <v>-132.78090855459033</v>
      </c>
      <c r="I171" s="2">
        <f>Calculate[[#This Row],[Tx_PSD_ds]]+Calculate[[#This Row],[IL]]</f>
        <v>-132.78090855459033</v>
      </c>
      <c r="J171" s="2">
        <f>Masks[[#This Row],[channel_echo]]</f>
        <v>-8.7602254294842012</v>
      </c>
      <c r="K171" s="2">
        <f>Masks[[#This Row],[channel_echo]]</f>
        <v>-8.7602254294842012</v>
      </c>
      <c r="L171" s="2">
        <f>Calculate[[#This Row],[Echo_transfer_us]]+Calculate[[#This Row],[Tx_PSD_ds]]</f>
        <v>-110.85877495000622</v>
      </c>
      <c r="M171" s="2">
        <f>Calculate[[#This Row],[Echo_transfer_ds]]+Calculate[[#This Row],[Tx_PSD_us]]</f>
        <v>-110.85877495000622</v>
      </c>
      <c r="N171" s="2">
        <f t="shared" si="25"/>
        <v>-140</v>
      </c>
      <c r="O171" s="2">
        <f t="shared" si="26"/>
        <v>-140</v>
      </c>
      <c r="P171" s="2">
        <f t="shared" si="27"/>
        <v>6</v>
      </c>
      <c r="Q171" s="2">
        <f t="shared" si="28"/>
        <v>6</v>
      </c>
      <c r="R171" s="2">
        <f>10*LOG10((10^(Calculate[[#This Row],[Rx_echo_us]]/10))-(10^((Masks[[#This Row],[connector_echo]]+Calculate[[#This Row],[Tx_PSD_ds]])/10))*EC_conector_ratio_us)-Calculate[[#This Row],[EC_cancelation_us]]</f>
        <v>-149.73936326715915</v>
      </c>
      <c r="S171" s="2">
        <f>10*LOG10((10^(Calculate[[#This Row],[Rx_echo_ds]]/10))-(10^((Masks[[#This Row],[connector_echo]]+Calculate[[#This Row],[Tx_PSD_us]])/10))*EC_conector_ratio_ds)-Calculate[[#This Row],[EC_cancelation_ds]]</f>
        <v>-149.73936326715915</v>
      </c>
      <c r="T171" s="1">
        <f>(POWER(10,Calculate[[#This Row],[AFE_noise_us]]/10)+POWER(10,Calculate[[#This Row],[Echo_res_us]]/10))</f>
        <v>1.1061851227145105E-14</v>
      </c>
      <c r="U171" s="1">
        <f>(POWER(10,Calculate[[#This Row],[AFE_noise_ds]]/10)+POWER(10,Calculate[[#This Row],[Echo_res_ds]]/10))</f>
        <v>1.1061851227145105E-14</v>
      </c>
      <c r="V171" s="2">
        <f>10*LOG10(Calculate[[#This Row],[Linear_Noise_us]])</f>
        <v>-139.56172186733281</v>
      </c>
      <c r="W171" s="2">
        <f>10*LOG10(Calculate[[#This Row],[Linear_Noise_ds]])</f>
        <v>-139.56172186733281</v>
      </c>
      <c r="X171" s="2">
        <f>Calculate[[#This Row],[Rx_PSD_us]]-Calculate[[#This Row],[Noise_us]]</f>
        <v>6.780813312742481</v>
      </c>
      <c r="Y171" s="2">
        <f>Calculate[[#This Row],[Rx_PSD_ds]]-Calculate[[#This Row],[Noise_ds]]</f>
        <v>6.780813312742481</v>
      </c>
      <c r="Z171" s="2">
        <f>POWER(10,Calculate[[#This Row],[SNRdB_us]]/10)</f>
        <v>4.7652021742972686</v>
      </c>
      <c r="AA171" s="2">
        <f>POWER(10,Calculate[[#This Row],[SNRdB_ds]]/10)</f>
        <v>4.7652021742972686</v>
      </c>
      <c r="AB171" s="2">
        <f>-(0.002*Calculate[[#This Row],[Freq]]/1000000/2.5+0.68*(Calculate[[#This Row],[Freq]]/1000000/2.5)^0.45)</f>
        <v>-31.301613543232243</v>
      </c>
      <c r="AC171" s="2"/>
    </row>
    <row r="172" spans="1:29" x14ac:dyDescent="0.25">
      <c r="A172" s="33">
        <f t="shared" si="29"/>
        <v>7695000000</v>
      </c>
      <c r="B172" s="1">
        <f>Calculate[[#This Row],[Freq]]-A171</f>
        <v>45000000</v>
      </c>
      <c r="C172" s="1">
        <f>Channels!B172*cable_length</f>
        <v>-28.242324344518877</v>
      </c>
      <c r="D172" s="1">
        <f>Channels!C172*PCB_trace_length</f>
        <v>-2.5596120205442929</v>
      </c>
      <c r="E172" s="1">
        <f>Calculate[[#This Row],[IL_Cable]]+Calculate[[#This Row],[IL_PCB]]</f>
        <v>-30.80193636506317</v>
      </c>
      <c r="F172" s="2">
        <f>Masks!A172</f>
        <v>-102.16208887140507</v>
      </c>
      <c r="G172" s="2">
        <f>Masks!B172</f>
        <v>-102.16208887140507</v>
      </c>
      <c r="H172" s="2">
        <f>Calculate[[#This Row],[Tx_PSD_us]]+Calculate[[#This Row],[IL]]</f>
        <v>-132.96402523646825</v>
      </c>
      <c r="I172" s="2">
        <f>Calculate[[#This Row],[Tx_PSD_ds]]+Calculate[[#This Row],[IL]]</f>
        <v>-132.96402523646825</v>
      </c>
      <c r="J172" s="2">
        <f>Masks[[#This Row],[channel_echo]]</f>
        <v>-8.7353240946665771</v>
      </c>
      <c r="K172" s="2">
        <f>Masks[[#This Row],[channel_echo]]</f>
        <v>-8.7353240946665771</v>
      </c>
      <c r="L172" s="2">
        <f>Calculate[[#This Row],[Echo_transfer_us]]+Calculate[[#This Row],[Tx_PSD_ds]]</f>
        <v>-110.89741296607166</v>
      </c>
      <c r="M172" s="2">
        <f>Calculate[[#This Row],[Echo_transfer_ds]]+Calculate[[#This Row],[Tx_PSD_us]]</f>
        <v>-110.89741296607166</v>
      </c>
      <c r="N172" s="2">
        <f t="shared" si="25"/>
        <v>-140</v>
      </c>
      <c r="O172" s="2">
        <f t="shared" si="26"/>
        <v>-140</v>
      </c>
      <c r="P172" s="2">
        <f t="shared" si="27"/>
        <v>6</v>
      </c>
      <c r="Q172" s="2">
        <f t="shared" si="28"/>
        <v>6</v>
      </c>
      <c r="R172" s="2">
        <f>10*LOG10((10^(Calculate[[#This Row],[Rx_echo_us]]/10))-(10^((Masks[[#This Row],[connector_echo]]+Calculate[[#This Row],[Tx_PSD_ds]])/10))*EC_conector_ratio_us)-Calculate[[#This Row],[EC_cancelation_us]]</f>
        <v>-149.80290261807852</v>
      </c>
      <c r="S172" s="2">
        <f>10*LOG10((10^(Calculate[[#This Row],[Rx_echo_ds]]/10))-(10^((Masks[[#This Row],[connector_echo]]+Calculate[[#This Row],[Tx_PSD_us]])/10))*EC_conector_ratio_ds)-Calculate[[#This Row],[EC_cancelation_ds]]</f>
        <v>-149.80290261807852</v>
      </c>
      <c r="T172" s="1">
        <f>(POWER(10,Calculate[[#This Row],[AFE_noise_us]]/10)+POWER(10,Calculate[[#This Row],[Echo_res_us]]/10))</f>
        <v>1.1046428930877092E-14</v>
      </c>
      <c r="U172" s="1">
        <f>(POWER(10,Calculate[[#This Row],[AFE_noise_ds]]/10)+POWER(10,Calculate[[#This Row],[Echo_res_ds]]/10))</f>
        <v>1.1046428930877092E-14</v>
      </c>
      <c r="V172" s="2">
        <f>10*LOG10(Calculate[[#This Row],[Linear_Noise_us]])</f>
        <v>-139.56778097207186</v>
      </c>
      <c r="W172" s="2">
        <f>10*LOG10(Calculate[[#This Row],[Linear_Noise_ds]])</f>
        <v>-139.56778097207186</v>
      </c>
      <c r="X172" s="2">
        <f>Calculate[[#This Row],[Rx_PSD_us]]-Calculate[[#This Row],[Noise_us]]</f>
        <v>6.6037557356036132</v>
      </c>
      <c r="Y172" s="2">
        <f>Calculate[[#This Row],[Rx_PSD_ds]]-Calculate[[#This Row],[Noise_ds]]</f>
        <v>6.6037557356036132</v>
      </c>
      <c r="Z172" s="2">
        <f>POWER(10,Calculate[[#This Row],[SNRdB_us]]/10)</f>
        <v>4.5748364591628201</v>
      </c>
      <c r="AA172" s="2">
        <f>POWER(10,Calculate[[#This Row],[SNRdB_ds]]/10)</f>
        <v>4.5748364591628201</v>
      </c>
      <c r="AB172" s="2">
        <f>-(0.002*Calculate[[#This Row],[Freq]]/1000000/2.5+0.68*(Calculate[[#This Row],[Freq]]/1000000/2.5)^0.45)</f>
        <v>-31.404163254197364</v>
      </c>
      <c r="AC172" s="2"/>
    </row>
    <row r="173" spans="1:29" x14ac:dyDescent="0.25">
      <c r="A173" s="33">
        <f t="shared" si="29"/>
        <v>7740000000</v>
      </c>
      <c r="B173" s="1">
        <f>Calculate[[#This Row],[Freq]]-A172</f>
        <v>45000000</v>
      </c>
      <c r="C173" s="1">
        <f>Channels!B173*cable_length</f>
        <v>-28.347633145356994</v>
      </c>
      <c r="D173" s="1">
        <f>Channels!C173*PCB_trace_length</f>
        <v>-2.5737032392540611</v>
      </c>
      <c r="E173" s="1">
        <f>Calculate[[#This Row],[IL_Cable]]+Calculate[[#This Row],[IL_PCB]]</f>
        <v>-30.921336384611056</v>
      </c>
      <c r="F173" s="2">
        <f>Masks!A173</f>
        <v>-102.22622861400473</v>
      </c>
      <c r="G173" s="2">
        <f>Masks!B173</f>
        <v>-102.22622861400473</v>
      </c>
      <c r="H173" s="2">
        <f>Calculate[[#This Row],[Tx_PSD_us]]+Calculate[[#This Row],[IL]]</f>
        <v>-133.14756499861579</v>
      </c>
      <c r="I173" s="2">
        <f>Calculate[[#This Row],[Tx_PSD_ds]]+Calculate[[#This Row],[IL]]</f>
        <v>-133.14756499861579</v>
      </c>
      <c r="J173" s="2">
        <f>Masks[[#This Row],[channel_echo]]</f>
        <v>-8.7105647241337163</v>
      </c>
      <c r="K173" s="2">
        <f>Masks[[#This Row],[channel_echo]]</f>
        <v>-8.7105647241337163</v>
      </c>
      <c r="L173" s="2">
        <f>Calculate[[#This Row],[Echo_transfer_us]]+Calculate[[#This Row],[Tx_PSD_ds]]</f>
        <v>-110.93679333813844</v>
      </c>
      <c r="M173" s="2">
        <f>Calculate[[#This Row],[Echo_transfer_ds]]+Calculate[[#This Row],[Tx_PSD_us]]</f>
        <v>-110.93679333813844</v>
      </c>
      <c r="N173" s="2">
        <f t="shared" si="25"/>
        <v>-140</v>
      </c>
      <c r="O173" s="2">
        <f t="shared" si="26"/>
        <v>-140</v>
      </c>
      <c r="P173" s="2">
        <f t="shared" si="27"/>
        <v>6</v>
      </c>
      <c r="Q173" s="2">
        <f t="shared" si="28"/>
        <v>6</v>
      </c>
      <c r="R173" s="2">
        <f>10*LOG10((10^(Calculate[[#This Row],[Rx_echo_us]]/10))-(10^((Masks[[#This Row],[connector_echo]]+Calculate[[#This Row],[Tx_PSD_ds]])/10))*EC_conector_ratio_us)-Calculate[[#This Row],[EC_cancelation_us]]</f>
        <v>-149.86704236064151</v>
      </c>
      <c r="S173" s="2">
        <f>10*LOG10((10^(Calculate[[#This Row],[Rx_echo_ds]]/10))-(10^((Masks[[#This Row],[connector_echo]]+Calculate[[#This Row],[Tx_PSD_us]])/10))*EC_conector_ratio_ds)-Calculate[[#This Row],[EC_cancelation_ds]]</f>
        <v>-149.86704236064151</v>
      </c>
      <c r="T173" s="1">
        <f>(POWER(10,Calculate[[#This Row],[AFE_noise_us]]/10)+POWER(10,Calculate[[#This Row],[Echo_res_us]]/10))</f>
        <v>1.1031088074672489E-14</v>
      </c>
      <c r="U173" s="1">
        <f>(POWER(10,Calculate[[#This Row],[AFE_noise_ds]]/10)+POWER(10,Calculate[[#This Row],[Echo_res_ds]]/10))</f>
        <v>1.1031088074672489E-14</v>
      </c>
      <c r="V173" s="2">
        <f>10*LOG10(Calculate[[#This Row],[Linear_Noise_us]])</f>
        <v>-139.5738164789343</v>
      </c>
      <c r="W173" s="2">
        <f>10*LOG10(Calculate[[#This Row],[Linear_Noise_ds]])</f>
        <v>-139.5738164789343</v>
      </c>
      <c r="X173" s="2">
        <f>Calculate[[#This Row],[Rx_PSD_us]]-Calculate[[#This Row],[Noise_us]]</f>
        <v>6.4262514803185127</v>
      </c>
      <c r="Y173" s="2">
        <f>Calculate[[#This Row],[Rx_PSD_ds]]-Calculate[[#This Row],[Noise_ds]]</f>
        <v>6.4262514803185127</v>
      </c>
      <c r="Z173" s="2">
        <f>POWER(10,Calculate[[#This Row],[SNRdB_us]]/10)</f>
        <v>4.3916239819905201</v>
      </c>
      <c r="AA173" s="2">
        <f>POWER(10,Calculate[[#This Row],[SNRdB_ds]]/10)</f>
        <v>4.3916239819905201</v>
      </c>
      <c r="AB173" s="2">
        <f>-(0.002*Calculate[[#This Row],[Freq]]/1000000/2.5+0.68*(Calculate[[#This Row],[Freq]]/1000000/2.5)^0.45)</f>
        <v>-31.506499258695705</v>
      </c>
      <c r="AC173" s="2"/>
    </row>
    <row r="174" spans="1:29" x14ac:dyDescent="0.25">
      <c r="A174" s="33">
        <f t="shared" si="29"/>
        <v>7785000000</v>
      </c>
      <c r="B174" s="1">
        <f>Calculate[[#This Row],[Freq]]-A173</f>
        <v>45000000</v>
      </c>
      <c r="C174" s="1">
        <f>Channels!B174*cable_length</f>
        <v>-28.452768717953397</v>
      </c>
      <c r="D174" s="1">
        <f>Channels!C174*PCB_trace_length</f>
        <v>-2.5877919188513605</v>
      </c>
      <c r="E174" s="1">
        <f>Calculate[[#This Row],[IL_Cable]]+Calculate[[#This Row],[IL_PCB]]</f>
        <v>-31.040560636804756</v>
      </c>
      <c r="F174" s="2">
        <f>Masks!A174</f>
        <v>-102.29097498513272</v>
      </c>
      <c r="G174" s="2">
        <f>Masks!B174</f>
        <v>-102.29097498513272</v>
      </c>
      <c r="H174" s="2">
        <f>Calculate[[#This Row],[Tx_PSD_us]]+Calculate[[#This Row],[IL]]</f>
        <v>-133.33153562193746</v>
      </c>
      <c r="I174" s="2">
        <f>Calculate[[#This Row],[Tx_PSD_ds]]+Calculate[[#This Row],[IL]]</f>
        <v>-133.33153562193746</v>
      </c>
      <c r="J174" s="2">
        <f>Masks[[#This Row],[channel_echo]]</f>
        <v>-8.6859457083602862</v>
      </c>
      <c r="K174" s="2">
        <f>Masks[[#This Row],[channel_echo]]</f>
        <v>-8.6859457083602862</v>
      </c>
      <c r="L174" s="2">
        <f>Calculate[[#This Row],[Echo_transfer_us]]+Calculate[[#This Row],[Tx_PSD_ds]]</f>
        <v>-110.97692069349301</v>
      </c>
      <c r="M174" s="2">
        <f>Calculate[[#This Row],[Echo_transfer_ds]]+Calculate[[#This Row],[Tx_PSD_us]]</f>
        <v>-110.97692069349301</v>
      </c>
      <c r="N174" s="2">
        <f t="shared" si="25"/>
        <v>-140</v>
      </c>
      <c r="O174" s="2">
        <f t="shared" si="26"/>
        <v>-140</v>
      </c>
      <c r="P174" s="2">
        <f t="shared" si="27"/>
        <v>6</v>
      </c>
      <c r="Q174" s="2">
        <f t="shared" si="28"/>
        <v>6</v>
      </c>
      <c r="R174" s="2">
        <f>10*LOG10((10^(Calculate[[#This Row],[Rx_echo_us]]/10))-(10^((Masks[[#This Row],[connector_echo]]+Calculate[[#This Row],[Tx_PSD_ds]])/10))*EC_conector_ratio_us)-Calculate[[#This Row],[EC_cancelation_us]]</f>
        <v>-149.93178873181938</v>
      </c>
      <c r="S174" s="2">
        <f>10*LOG10((10^(Calculate[[#This Row],[Rx_echo_ds]]/10))-(10^((Masks[[#This Row],[connector_echo]]+Calculate[[#This Row],[Tx_PSD_us]])/10))*EC_conector_ratio_ds)-Calculate[[#This Row],[EC_cancelation_ds]]</f>
        <v>-149.93178873181938</v>
      </c>
      <c r="T174" s="1">
        <f>(POWER(10,Calculate[[#This Row],[AFE_noise_us]]/10)+POWER(10,Calculate[[#This Row],[Echo_res_us]]/10))</f>
        <v>1.1015830215972663E-14</v>
      </c>
      <c r="U174" s="1">
        <f>(POWER(10,Calculate[[#This Row],[AFE_noise_ds]]/10)+POWER(10,Calculate[[#This Row],[Echo_res_ds]]/10))</f>
        <v>1.1015830215972663E-14</v>
      </c>
      <c r="V174" s="2">
        <f>10*LOG10(Calculate[[#This Row],[Linear_Noise_us]])</f>
        <v>-139.57982766363554</v>
      </c>
      <c r="W174" s="2">
        <f>10*LOG10(Calculate[[#This Row],[Linear_Noise_ds]])</f>
        <v>-139.57982766363554</v>
      </c>
      <c r="X174" s="2">
        <f>Calculate[[#This Row],[Rx_PSD_us]]-Calculate[[#This Row],[Noise_us]]</f>
        <v>6.2482920416980789</v>
      </c>
      <c r="Y174" s="2">
        <f>Calculate[[#This Row],[Rx_PSD_ds]]-Calculate[[#This Row],[Noise_ds]]</f>
        <v>6.2482920416980789</v>
      </c>
      <c r="Z174" s="2">
        <f>POWER(10,Calculate[[#This Row],[SNRdB_us]]/10)</f>
        <v>4.2153069463584032</v>
      </c>
      <c r="AA174" s="2">
        <f>POWER(10,Calculate[[#This Row],[SNRdB_ds]]/10)</f>
        <v>4.2153069463584032</v>
      </c>
      <c r="AB174" s="2">
        <f>-(0.002*Calculate[[#This Row],[Freq]]/1000000/2.5+0.68*(Calculate[[#This Row],[Freq]]/1000000/2.5)^0.45)</f>
        <v>-31.608623479516254</v>
      </c>
      <c r="AC174" s="2"/>
    </row>
    <row r="175" spans="1:29" x14ac:dyDescent="0.25">
      <c r="A175" s="33">
        <f t="shared" si="29"/>
        <v>7830000000</v>
      </c>
      <c r="B175" s="1">
        <f>Calculate[[#This Row],[Freq]]-A174</f>
        <v>45000000</v>
      </c>
      <c r="C175" s="1">
        <f>Channels!B175*cable_length</f>
        <v>-28.557732562135392</v>
      </c>
      <c r="D175" s="1">
        <f>Channels!C175*PCB_trace_length</f>
        <v>-2.6018780813200779</v>
      </c>
      <c r="E175" s="1">
        <f>Calculate[[#This Row],[IL_Cable]]+Calculate[[#This Row],[IL_PCB]]</f>
        <v>-31.159610643455469</v>
      </c>
      <c r="F175" s="2">
        <f>Masks!A175</f>
        <v>-102.35633435795565</v>
      </c>
      <c r="G175" s="2">
        <f>Masks!B175</f>
        <v>-102.35633435795565</v>
      </c>
      <c r="H175" s="2">
        <f>Calculate[[#This Row],[Tx_PSD_us]]+Calculate[[#This Row],[IL]]</f>
        <v>-133.51594500141113</v>
      </c>
      <c r="I175" s="2">
        <f>Calculate[[#This Row],[Tx_PSD_ds]]+Calculate[[#This Row],[IL]]</f>
        <v>-133.51594500141113</v>
      </c>
      <c r="J175" s="2">
        <f>Masks[[#This Row],[channel_echo]]</f>
        <v>-8.6614654650388196</v>
      </c>
      <c r="K175" s="2">
        <f>Masks[[#This Row],[channel_echo]]</f>
        <v>-8.6614654650388196</v>
      </c>
      <c r="L175" s="2">
        <f>Calculate[[#This Row],[Echo_transfer_us]]+Calculate[[#This Row],[Tx_PSD_ds]]</f>
        <v>-111.01779982299446</v>
      </c>
      <c r="M175" s="2">
        <f>Calculate[[#This Row],[Echo_transfer_ds]]+Calculate[[#This Row],[Tx_PSD_us]]</f>
        <v>-111.01779982299446</v>
      </c>
      <c r="N175" s="2">
        <f t="shared" si="25"/>
        <v>-140</v>
      </c>
      <c r="O175" s="2">
        <f t="shared" si="26"/>
        <v>-140</v>
      </c>
      <c r="P175" s="2">
        <f t="shared" si="27"/>
        <v>6</v>
      </c>
      <c r="Q175" s="2">
        <f t="shared" si="28"/>
        <v>6</v>
      </c>
      <c r="R175" s="2">
        <f>10*LOG10((10^(Calculate[[#This Row],[Rx_echo_us]]/10))-(10^((Masks[[#This Row],[connector_echo]]+Calculate[[#This Row],[Tx_PSD_ds]])/10))*EC_conector_ratio_us)-Calculate[[#This Row],[EC_cancelation_us]]</f>
        <v>-149.99714810462046</v>
      </c>
      <c r="S175" s="2">
        <f>10*LOG10((10^(Calculate[[#This Row],[Rx_echo_ds]]/10))-(10^((Masks[[#This Row],[connector_echo]]+Calculate[[#This Row],[Tx_PSD_us]])/10))*EC_conector_ratio_ds)-Calculate[[#This Row],[EC_cancelation_ds]]</f>
        <v>-149.99714810462046</v>
      </c>
      <c r="T175" s="1">
        <f>(POWER(10,Calculate[[#This Row],[AFE_noise_us]]/10)+POWER(10,Calculate[[#This Row],[Echo_res_us]]/10))</f>
        <v>1.1000656888835803E-14</v>
      </c>
      <c r="U175" s="1">
        <f>(POWER(10,Calculate[[#This Row],[AFE_noise_ds]]/10)+POWER(10,Calculate[[#This Row],[Echo_res_ds]]/10))</f>
        <v>1.1000656888835803E-14</v>
      </c>
      <c r="V175" s="2">
        <f>10*LOG10(Calculate[[#This Row],[Linear_Noise_us]])</f>
        <v>-139.58581380780066</v>
      </c>
      <c r="W175" s="2">
        <f>10*LOG10(Calculate[[#This Row],[Linear_Noise_ds]])</f>
        <v>-139.58581380780066</v>
      </c>
      <c r="X175" s="2">
        <f>Calculate[[#This Row],[Rx_PSD_us]]-Calculate[[#This Row],[Noise_us]]</f>
        <v>6.0698688063895361</v>
      </c>
      <c r="Y175" s="2">
        <f>Calculate[[#This Row],[Rx_PSD_ds]]-Calculate[[#This Row],[Noise_ds]]</f>
        <v>6.0698688063895361</v>
      </c>
      <c r="Z175" s="2">
        <f>POWER(10,Calculate[[#This Row],[SNRdB_us]]/10)</f>
        <v>4.0456367027339519</v>
      </c>
      <c r="AA175" s="2">
        <f>POWER(10,Calculate[[#This Row],[SNRdB_ds]]/10)</f>
        <v>4.0456367027339519</v>
      </c>
      <c r="AB175" s="2">
        <f>-(0.002*Calculate[[#This Row],[Freq]]/1000000/2.5+0.68*(Calculate[[#This Row],[Freq]]/1000000/2.5)^0.45)</f>
        <v>-31.710537811150946</v>
      </c>
      <c r="AC175" s="2"/>
    </row>
    <row r="176" spans="1:29" x14ac:dyDescent="0.25">
      <c r="A176" s="33">
        <f t="shared" si="29"/>
        <v>7875000000</v>
      </c>
      <c r="B176" s="1">
        <f>Calculate[[#This Row],[Freq]]-A175</f>
        <v>45000000</v>
      </c>
      <c r="C176" s="1">
        <f>Channels!B176*cable_length</f>
        <v>-28.662526156211637</v>
      </c>
      <c r="D176" s="1">
        <f>Channels!C176*PCB_trace_length</f>
        <v>-2.6159617483286901</v>
      </c>
      <c r="E176" s="1">
        <f>Calculate[[#This Row],[IL_Cable]]+Calculate[[#This Row],[IL_PCB]]</f>
        <v>-31.278487904540327</v>
      </c>
      <c r="F176" s="2">
        <f>Masks!A176</f>
        <v>-102.42231324587559</v>
      </c>
      <c r="G176" s="2">
        <f>Masks!B176</f>
        <v>-102.42231324587559</v>
      </c>
      <c r="H176" s="2">
        <f>Calculate[[#This Row],[Tx_PSD_us]]+Calculate[[#This Row],[IL]]</f>
        <v>-133.70080115041591</v>
      </c>
      <c r="I176" s="2">
        <f>Calculate[[#This Row],[Tx_PSD_ds]]+Calculate[[#This Row],[IL]]</f>
        <v>-133.70080115041591</v>
      </c>
      <c r="J176" s="2">
        <f>Masks[[#This Row],[channel_echo]]</f>
        <v>-8.6371224384694543</v>
      </c>
      <c r="K176" s="2">
        <f>Masks[[#This Row],[channel_echo]]</f>
        <v>-8.6371224384694543</v>
      </c>
      <c r="L176" s="2">
        <f>Calculate[[#This Row],[Echo_transfer_us]]+Calculate[[#This Row],[Tx_PSD_ds]]</f>
        <v>-111.05943568434503</v>
      </c>
      <c r="M176" s="2">
        <f>Calculate[[#This Row],[Echo_transfer_ds]]+Calculate[[#This Row],[Tx_PSD_us]]</f>
        <v>-111.05943568434503</v>
      </c>
      <c r="N176" s="2">
        <f t="shared" si="25"/>
        <v>-140</v>
      </c>
      <c r="O176" s="2">
        <f t="shared" si="26"/>
        <v>-140</v>
      </c>
      <c r="P176" s="2">
        <f t="shared" si="27"/>
        <v>6</v>
      </c>
      <c r="Q176" s="2">
        <f t="shared" si="28"/>
        <v>6</v>
      </c>
      <c r="R176" s="2">
        <f>10*LOG10((10^(Calculate[[#This Row],[Rx_echo_us]]/10))-(10^((Masks[[#This Row],[connector_echo]]+Calculate[[#This Row],[Tx_PSD_ds]])/10))*EC_conector_ratio_us)-Calculate[[#This Row],[EC_cancelation_us]]</f>
        <v>-150.06312699252081</v>
      </c>
      <c r="S176" s="2">
        <f>10*LOG10((10^(Calculate[[#This Row],[Rx_echo_ds]]/10))-(10^((Masks[[#This Row],[connector_echo]]+Calculate[[#This Row],[Tx_PSD_us]])/10))*EC_conector_ratio_ds)-Calculate[[#This Row],[EC_cancelation_ds]]</f>
        <v>-150.06312699252081</v>
      </c>
      <c r="T176" s="1">
        <f>(POWER(10,Calculate[[#This Row],[AFE_noise_us]]/10)+POWER(10,Calculate[[#This Row],[Echo_res_us]]/10))</f>
        <v>1.0985569603587487E-14</v>
      </c>
      <c r="U176" s="1">
        <f>(POWER(10,Calculate[[#This Row],[AFE_noise_ds]]/10)+POWER(10,Calculate[[#This Row],[Echo_res_ds]]/10))</f>
        <v>1.0985569603587487E-14</v>
      </c>
      <c r="V176" s="2">
        <f>10*LOG10(Calculate[[#This Row],[Linear_Noise_us]])</f>
        <v>-139.59177419919479</v>
      </c>
      <c r="W176" s="2">
        <f>10*LOG10(Calculate[[#This Row],[Linear_Noise_ds]])</f>
        <v>-139.59177419919479</v>
      </c>
      <c r="X176" s="2">
        <f>Calculate[[#This Row],[Rx_PSD_us]]-Calculate[[#This Row],[Noise_us]]</f>
        <v>5.890973048778875</v>
      </c>
      <c r="Y176" s="2">
        <f>Calculate[[#This Row],[Rx_PSD_ds]]-Calculate[[#This Row],[Noise_ds]]</f>
        <v>5.890973048778875</v>
      </c>
      <c r="Z176" s="2">
        <f>POWER(10,Calculate[[#This Row],[SNRdB_us]]/10)</f>
        <v>3.882373418951798</v>
      </c>
      <c r="AA176" s="2">
        <f>POWER(10,Calculate[[#This Row],[SNRdB_ds]]/10)</f>
        <v>3.882373418951798</v>
      </c>
      <c r="AB176" s="2">
        <f>-(0.002*Calculate[[#This Row],[Freq]]/1000000/2.5+0.68*(Calculate[[#This Row],[Freq]]/1000000/2.5)^0.45)</f>
        <v>-31.812244120370963</v>
      </c>
      <c r="AC176" s="2"/>
    </row>
    <row r="177" spans="1:29" x14ac:dyDescent="0.25">
      <c r="A177" s="33">
        <f t="shared" si="29"/>
        <v>7920000000</v>
      </c>
      <c r="B177" s="1">
        <f>Calculate[[#This Row],[Freq]]-A176</f>
        <v>45000000</v>
      </c>
      <c r="C177" s="1">
        <f>Channels!B177*cable_length</f>
        <v>-28.767150957401917</v>
      </c>
      <c r="D177" s="1">
        <f>Channels!C177*PCB_trace_length</f>
        <v>-2.6300429412365585</v>
      </c>
      <c r="E177" s="1">
        <f>Calculate[[#This Row],[IL_Cable]]+Calculate[[#This Row],[IL_PCB]]</f>
        <v>-31.397193898638477</v>
      </c>
      <c r="F177" s="2">
        <f>Masks!A177</f>
        <v>-102.48891830655252</v>
      </c>
      <c r="G177" s="2">
        <f>Masks!B177</f>
        <v>-102.48891830655252</v>
      </c>
      <c r="H177" s="2">
        <f>Calculate[[#This Row],[Tx_PSD_us]]+Calculate[[#This Row],[IL]]</f>
        <v>-133.88611220519101</v>
      </c>
      <c r="I177" s="2">
        <f>Calculate[[#This Row],[Tx_PSD_ds]]+Calculate[[#This Row],[IL]]</f>
        <v>-133.88611220519101</v>
      </c>
      <c r="J177" s="2">
        <f>Masks[[#This Row],[channel_echo]]</f>
        <v>-8.6129150989666989</v>
      </c>
      <c r="K177" s="2">
        <f>Masks[[#This Row],[channel_echo]]</f>
        <v>-8.6129150989666989</v>
      </c>
      <c r="L177" s="2">
        <f>Calculate[[#This Row],[Echo_transfer_us]]+Calculate[[#This Row],[Tx_PSD_ds]]</f>
        <v>-111.10183340551922</v>
      </c>
      <c r="M177" s="2">
        <f>Calculate[[#This Row],[Echo_transfer_ds]]+Calculate[[#This Row],[Tx_PSD_us]]</f>
        <v>-111.10183340551922</v>
      </c>
      <c r="N177" s="2">
        <f t="shared" si="25"/>
        <v>-140</v>
      </c>
      <c r="O177" s="2">
        <f t="shared" si="26"/>
        <v>-140</v>
      </c>
      <c r="P177" s="2">
        <f t="shared" si="27"/>
        <v>6</v>
      </c>
      <c r="Q177" s="2">
        <f t="shared" si="28"/>
        <v>6</v>
      </c>
      <c r="R177" s="2">
        <f>10*LOG10((10^(Calculate[[#This Row],[Rx_echo_us]]/10))-(10^((Masks[[#This Row],[connector_echo]]+Calculate[[#This Row],[Tx_PSD_ds]])/10))*EC_conector_ratio_us)-Calculate[[#This Row],[EC_cancelation_us]]</f>
        <v>-150.12973205319494</v>
      </c>
      <c r="S177" s="2">
        <f>10*LOG10((10^(Calculate[[#This Row],[Rx_echo_ds]]/10))-(10^((Masks[[#This Row],[connector_echo]]+Calculate[[#This Row],[Tx_PSD_us]])/10))*EC_conector_ratio_ds)-Calculate[[#This Row],[EC_cancelation_ds]]</f>
        <v>-150.12973205319494</v>
      </c>
      <c r="T177" s="1">
        <f>(POWER(10,Calculate[[#This Row],[AFE_noise_us]]/10)+POWER(10,Calculate[[#This Row],[Echo_res_us]]/10))</f>
        <v>1.0970569846677076E-14</v>
      </c>
      <c r="U177" s="1">
        <f>(POWER(10,Calculate[[#This Row],[AFE_noise_ds]]/10)+POWER(10,Calculate[[#This Row],[Echo_res_ds]]/10))</f>
        <v>1.0970569846677076E-14</v>
      </c>
      <c r="V177" s="2">
        <f>10*LOG10(Calculate[[#This Row],[Linear_Noise_us]])</f>
        <v>-139.59770813187387</v>
      </c>
      <c r="W177" s="2">
        <f>10*LOG10(Calculate[[#This Row],[Linear_Noise_ds]])</f>
        <v>-139.59770813187387</v>
      </c>
      <c r="X177" s="2">
        <f>Calculate[[#This Row],[Rx_PSD_us]]-Calculate[[#This Row],[Noise_us]]</f>
        <v>5.7115959266828611</v>
      </c>
      <c r="Y177" s="2">
        <f>Calculate[[#This Row],[Rx_PSD_ds]]-Calculate[[#This Row],[Noise_ds]]</f>
        <v>5.7115959266828611</v>
      </c>
      <c r="Z177" s="2">
        <f>POWER(10,Calculate[[#This Row],[SNRdB_us]]/10)</f>
        <v>3.7252857630377467</v>
      </c>
      <c r="AA177" s="2">
        <f>POWER(10,Calculate[[#This Row],[SNRdB_ds]]/10)</f>
        <v>3.7252857630377467</v>
      </c>
      <c r="AB177" s="2">
        <f>-(0.002*Calculate[[#This Row],[Freq]]/1000000/2.5+0.68*(Calculate[[#This Row],[Freq]]/1000000/2.5)^0.45)</f>
        <v>-31.913744246788333</v>
      </c>
      <c r="AC177" s="2"/>
    </row>
    <row r="178" spans="1:29" x14ac:dyDescent="0.25">
      <c r="A178" s="33">
        <f t="shared" si="29"/>
        <v>7965000000</v>
      </c>
      <c r="B178" s="1">
        <f>Calculate[[#This Row],[Freq]]-A177</f>
        <v>45000000</v>
      </c>
      <c r="C178" s="1">
        <f>Channels!B178*cable_length</f>
        <v>-28.871608402255951</v>
      </c>
      <c r="D178" s="1">
        <f>Channels!C178*PCB_trace_length</f>
        <v>-2.6441216811000738</v>
      </c>
      <c r="E178" s="1">
        <f>Calculate[[#This Row],[IL_Cable]]+Calculate[[#This Row],[IL_PCB]]</f>
        <v>-31.515730083356026</v>
      </c>
      <c r="F178" s="2">
        <f>Masks!A178</f>
        <v>-102.5561563460746</v>
      </c>
      <c r="G178" s="2">
        <f>Masks!B178</f>
        <v>-102.5561563460746</v>
      </c>
      <c r="H178" s="2">
        <f>Calculate[[#This Row],[Tx_PSD_us]]+Calculate[[#This Row],[IL]]</f>
        <v>-134.07188642943063</v>
      </c>
      <c r="I178" s="2">
        <f>Calculate[[#This Row],[Tx_PSD_ds]]+Calculate[[#This Row],[IL]]</f>
        <v>-134.07188642943063</v>
      </c>
      <c r="J178" s="2">
        <f>Masks[[#This Row],[channel_echo]]</f>
        <v>-8.5888419422826168</v>
      </c>
      <c r="K178" s="2">
        <f>Masks[[#This Row],[channel_echo]]</f>
        <v>-8.5888419422826168</v>
      </c>
      <c r="L178" s="2">
        <f>Calculate[[#This Row],[Echo_transfer_us]]+Calculate[[#This Row],[Tx_PSD_ds]]</f>
        <v>-111.14499828835721</v>
      </c>
      <c r="M178" s="2">
        <f>Calculate[[#This Row],[Echo_transfer_ds]]+Calculate[[#This Row],[Tx_PSD_us]]</f>
        <v>-111.14499828835721</v>
      </c>
      <c r="N178" s="2">
        <f t="shared" si="25"/>
        <v>-140</v>
      </c>
      <c r="O178" s="2">
        <f t="shared" si="26"/>
        <v>-140</v>
      </c>
      <c r="P178" s="2">
        <f t="shared" si="27"/>
        <v>6</v>
      </c>
      <c r="Q178" s="2">
        <f t="shared" si="28"/>
        <v>6</v>
      </c>
      <c r="R178" s="2">
        <f>10*LOG10((10^(Calculate[[#This Row],[Rx_echo_us]]/10))-(10^((Masks[[#This Row],[connector_echo]]+Calculate[[#This Row],[Tx_PSD_ds]])/10))*EC_conector_ratio_us)-Calculate[[#This Row],[EC_cancelation_us]]</f>
        <v>-150.19697009276189</v>
      </c>
      <c r="S178" s="2">
        <f>10*LOG10((10^(Calculate[[#This Row],[Rx_echo_ds]]/10))-(10^((Masks[[#This Row],[connector_echo]]+Calculate[[#This Row],[Tx_PSD_us]])/10))*EC_conector_ratio_ds)-Calculate[[#This Row],[EC_cancelation_ds]]</f>
        <v>-150.19697009276189</v>
      </c>
      <c r="T178" s="1">
        <f>(POWER(10,Calculate[[#This Row],[AFE_noise_us]]/10)+POWER(10,Calculate[[#This Row],[Echo_res_us]]/10))</f>
        <v>1.0955659080453226E-14</v>
      </c>
      <c r="U178" s="1">
        <f>(POWER(10,Calculate[[#This Row],[AFE_noise_ds]]/10)+POWER(10,Calculate[[#This Row],[Echo_res_ds]]/10))</f>
        <v>1.0955659080453226E-14</v>
      </c>
      <c r="V178" s="2">
        <f>10*LOG10(Calculate[[#This Row],[Linear_Noise_us]])</f>
        <v>-139.60361490636913</v>
      </c>
      <c r="W178" s="2">
        <f>10*LOG10(Calculate[[#This Row],[Linear_Noise_ds]])</f>
        <v>-139.60361490636913</v>
      </c>
      <c r="X178" s="2">
        <f>Calculate[[#This Row],[Rx_PSD_us]]-Calculate[[#This Row],[Noise_us]]</f>
        <v>5.5317284769384969</v>
      </c>
      <c r="Y178" s="2">
        <f>Calculate[[#This Row],[Rx_PSD_ds]]-Calculate[[#This Row],[Noise_ds]]</f>
        <v>5.5317284769384969</v>
      </c>
      <c r="Z178" s="2">
        <f>POWER(10,Calculate[[#This Row],[SNRdB_us]]/10)</f>
        <v>3.5741505979933641</v>
      </c>
      <c r="AA178" s="2">
        <f>POWER(10,Calculate[[#This Row],[SNRdB_ds]]/10)</f>
        <v>3.5741505979933641</v>
      </c>
      <c r="AB178" s="2">
        <f>-(0.002*Calculate[[#This Row],[Freq]]/1000000/2.5+0.68*(Calculate[[#This Row],[Freq]]/1000000/2.5)^0.45)</f>
        <v>-32.01504000340276</v>
      </c>
      <c r="AC178" s="2"/>
    </row>
    <row r="179" spans="1:29" x14ac:dyDescent="0.25">
      <c r="A179" s="33">
        <f t="shared" si="29"/>
        <v>8010000000</v>
      </c>
      <c r="B179" s="1">
        <f>Calculate[[#This Row],[Freq]]-A178</f>
        <v>45000000</v>
      </c>
      <c r="C179" s="1">
        <f>Channels!B179*cable_length</f>
        <v>-28.975899907061535</v>
      </c>
      <c r="D179" s="1">
        <f>Channels!C179*PCB_trace_length</f>
        <v>-2.6581979886786344</v>
      </c>
      <c r="E179" s="1">
        <f>Calculate[[#This Row],[IL_Cable]]+Calculate[[#This Row],[IL_PCB]]</f>
        <v>-31.634097895740169</v>
      </c>
      <c r="F179" s="2">
        <f>Masks!A179</f>
        <v>-102.62403432328308</v>
      </c>
      <c r="G179" s="2">
        <f>Masks!B179</f>
        <v>-102.62403432328308</v>
      </c>
      <c r="H179" s="2">
        <f>Calculate[[#This Row],[Tx_PSD_us]]+Calculate[[#This Row],[IL]]</f>
        <v>-134.25813221902325</v>
      </c>
      <c r="I179" s="2">
        <f>Calculate[[#This Row],[Tx_PSD_ds]]+Calculate[[#This Row],[IL]]</f>
        <v>-134.25813221902325</v>
      </c>
      <c r="J179" s="2">
        <f>Masks[[#This Row],[channel_echo]]</f>
        <v>-8.5649014890459387</v>
      </c>
      <c r="K179" s="2">
        <f>Masks[[#This Row],[channel_echo]]</f>
        <v>-8.5649014890459387</v>
      </c>
      <c r="L179" s="2">
        <f>Calculate[[#This Row],[Echo_transfer_us]]+Calculate[[#This Row],[Tx_PSD_ds]]</f>
        <v>-111.18893581232902</v>
      </c>
      <c r="M179" s="2">
        <f>Calculate[[#This Row],[Echo_transfer_ds]]+Calculate[[#This Row],[Tx_PSD_us]]</f>
        <v>-111.18893581232902</v>
      </c>
      <c r="N179" s="2">
        <f t="shared" si="25"/>
        <v>-140</v>
      </c>
      <c r="O179" s="2">
        <f t="shared" si="26"/>
        <v>-140</v>
      </c>
      <c r="P179" s="2">
        <f t="shared" si="27"/>
        <v>6</v>
      </c>
      <c r="Q179" s="2">
        <f t="shared" si="28"/>
        <v>6</v>
      </c>
      <c r="R179" s="2">
        <f>10*LOG10((10^(Calculate[[#This Row],[Rx_echo_us]]/10))-(10^((Masks[[#This Row],[connector_echo]]+Calculate[[#This Row],[Tx_PSD_ds]])/10))*EC_conector_ratio_us)-Calculate[[#This Row],[EC_cancelation_us]]</f>
        <v>-150.26484806992582</v>
      </c>
      <c r="S179" s="2">
        <f>10*LOG10((10^(Calculate[[#This Row],[Rx_echo_ds]]/10))-(10^((Masks[[#This Row],[connector_echo]]+Calculate[[#This Row],[Tx_PSD_us]])/10))*EC_conector_ratio_ds)-Calculate[[#This Row],[EC_cancelation_ds]]</f>
        <v>-150.26484806992582</v>
      </c>
      <c r="T179" s="1">
        <f>(POWER(10,Calculate[[#This Row],[AFE_noise_us]]/10)+POWER(10,Calculate[[#This Row],[Echo_res_us]]/10))</f>
        <v>1.0940838743003647E-14</v>
      </c>
      <c r="U179" s="1">
        <f>(POWER(10,Calculate[[#This Row],[AFE_noise_ds]]/10)+POWER(10,Calculate[[#This Row],[Echo_res_ds]]/10))</f>
        <v>1.0940838743003647E-14</v>
      </c>
      <c r="V179" s="2">
        <f>10*LOG10(Calculate[[#This Row],[Linear_Noise_us]])</f>
        <v>-139.60949382984725</v>
      </c>
      <c r="W179" s="2">
        <f>10*LOG10(Calculate[[#This Row],[Linear_Noise_ds]])</f>
        <v>-139.60949382984725</v>
      </c>
      <c r="X179" s="2">
        <f>Calculate[[#This Row],[Rx_PSD_us]]-Calculate[[#This Row],[Noise_us]]</f>
        <v>5.3513616108240001</v>
      </c>
      <c r="Y179" s="2">
        <f>Calculate[[#This Row],[Rx_PSD_ds]]-Calculate[[#This Row],[Noise_ds]]</f>
        <v>5.3513616108240001</v>
      </c>
      <c r="Z179" s="2">
        <f>POWER(10,Calculate[[#This Row],[SNRdB_us]]/10)</f>
        <v>3.4287526880063686</v>
      </c>
      <c r="AA179" s="2">
        <f>POWER(10,Calculate[[#This Row],[SNRdB_ds]]/10)</f>
        <v>3.4287526880063686</v>
      </c>
      <c r="AB179" s="2">
        <f>-(0.002*Calculate[[#This Row],[Freq]]/1000000/2.5+0.68*(Calculate[[#This Row],[Freq]]/1000000/2.5)^0.45)</f>
        <v>-32.116133177134657</v>
      </c>
      <c r="AC179" s="2"/>
    </row>
    <row r="180" spans="1:29" x14ac:dyDescent="0.25">
      <c r="A180" s="33">
        <f t="shared" si="29"/>
        <v>8055000000</v>
      </c>
      <c r="B180" s="1">
        <f>Calculate[[#This Row],[Freq]]-A179</f>
        <v>45000000</v>
      </c>
      <c r="C180" s="1">
        <f>Channels!B180*cable_length</f>
        <v>-29.080026868242406</v>
      </c>
      <c r="D180" s="1">
        <f>Channels!C180*PCB_trace_length</f>
        <v>-2.6722718844404776</v>
      </c>
      <c r="E180" s="1">
        <f>Calculate[[#This Row],[IL_Cable]]+Calculate[[#This Row],[IL_PCB]]</f>
        <v>-31.752298752682883</v>
      </c>
      <c r="F180" s="2">
        <f>Masks!A180</f>
        <v>-102.69255935425859</v>
      </c>
      <c r="G180" s="2">
        <f>Masks!B180</f>
        <v>-102.69255935425859</v>
      </c>
      <c r="H180" s="2">
        <f>Calculate[[#This Row],[Tx_PSD_us]]+Calculate[[#This Row],[IL]]</f>
        <v>-134.44485810694147</v>
      </c>
      <c r="I180" s="2">
        <f>Calculate[[#This Row],[Tx_PSD_ds]]+Calculate[[#This Row],[IL]]</f>
        <v>-134.44485810694147</v>
      </c>
      <c r="J180" s="2">
        <f>Masks[[#This Row],[channel_echo]]</f>
        <v>-8.5410922842165196</v>
      </c>
      <c r="K180" s="2">
        <f>Masks[[#This Row],[channel_echo]]</f>
        <v>-8.5410922842165196</v>
      </c>
      <c r="L180" s="2">
        <f>Calculate[[#This Row],[Echo_transfer_us]]+Calculate[[#This Row],[Tx_PSD_ds]]</f>
        <v>-111.23365163847511</v>
      </c>
      <c r="M180" s="2">
        <f>Calculate[[#This Row],[Echo_transfer_ds]]+Calculate[[#This Row],[Tx_PSD_us]]</f>
        <v>-111.23365163847511</v>
      </c>
      <c r="N180" s="2">
        <f t="shared" si="25"/>
        <v>-140</v>
      </c>
      <c r="O180" s="2">
        <f t="shared" si="26"/>
        <v>-140</v>
      </c>
      <c r="P180" s="2">
        <f t="shared" si="27"/>
        <v>6</v>
      </c>
      <c r="Q180" s="2">
        <f t="shared" si="28"/>
        <v>6</v>
      </c>
      <c r="R180" s="2">
        <f>10*LOG10((10^(Calculate[[#This Row],[Rx_echo_us]]/10))-(10^((Masks[[#This Row],[connector_echo]]+Calculate[[#This Row],[Tx_PSD_ds]])/10))*EC_conector_ratio_us)-Calculate[[#This Row],[EC_cancelation_us]]</f>
        <v>-150.33337310090968</v>
      </c>
      <c r="S180" s="2">
        <f>10*LOG10((10^(Calculate[[#This Row],[Rx_echo_ds]]/10))-(10^((Masks[[#This Row],[connector_echo]]+Calculate[[#This Row],[Tx_PSD_us]])/10))*EC_conector_ratio_ds)-Calculate[[#This Row],[EC_cancelation_ds]]</f>
        <v>-150.33337310090968</v>
      </c>
      <c r="T180" s="1">
        <f>(POWER(10,Calculate[[#This Row],[AFE_noise_us]]/10)+POWER(10,Calculate[[#This Row],[Echo_res_us]]/10))</f>
        <v>1.0926110247862489E-14</v>
      </c>
      <c r="U180" s="1">
        <f>(POWER(10,Calculate[[#This Row],[AFE_noise_ds]]/10)+POWER(10,Calculate[[#This Row],[Echo_res_ds]]/10))</f>
        <v>1.0926110247862489E-14</v>
      </c>
      <c r="V180" s="2">
        <f>10*LOG10(Calculate[[#This Row],[Linear_Noise_us]])</f>
        <v>-139.61534421632459</v>
      </c>
      <c r="W180" s="2">
        <f>10*LOG10(Calculate[[#This Row],[Linear_Noise_ds]])</f>
        <v>-139.61534421632459</v>
      </c>
      <c r="X180" s="2">
        <f>Calculate[[#This Row],[Rx_PSD_us]]-Calculate[[#This Row],[Noise_us]]</f>
        <v>5.1704861093831198</v>
      </c>
      <c r="Y180" s="2">
        <f>Calculate[[#This Row],[Rx_PSD_ds]]-Calculate[[#This Row],[Noise_ds]]</f>
        <v>5.1704861093831198</v>
      </c>
      <c r="Z180" s="2">
        <f>POWER(10,Calculate[[#This Row],[SNRdB_us]]/10)</f>
        <v>3.2888844156940182</v>
      </c>
      <c r="AA180" s="2">
        <f>POWER(10,Calculate[[#This Row],[SNRdB_ds]]/10)</f>
        <v>3.2888844156940182</v>
      </c>
      <c r="AB180" s="2">
        <f>-(0.002*Calculate[[#This Row],[Freq]]/1000000/2.5+0.68*(Calculate[[#This Row],[Freq]]/1000000/2.5)^0.45)</f>
        <v>-32.217025529344404</v>
      </c>
      <c r="AC180" s="2"/>
    </row>
    <row r="181" spans="1:29" x14ac:dyDescent="0.25">
      <c r="A181" s="33">
        <f t="shared" si="29"/>
        <v>8100000000</v>
      </c>
      <c r="B181" s="1">
        <f>Calculate[[#This Row],[Freq]]-A180</f>
        <v>45000000</v>
      </c>
      <c r="C181" s="1">
        <f>Channels!B181*cable_length</f>
        <v>-29.183990662746108</v>
      </c>
      <c r="D181" s="1">
        <f>Channels!C181*PCB_trace_length</f>
        <v>-2.6863433885683667</v>
      </c>
      <c r="E181" s="1">
        <f>Calculate[[#This Row],[IL_Cable]]+Calculate[[#This Row],[IL_PCB]]</f>
        <v>-31.870334051314476</v>
      </c>
      <c r="F181" s="2">
        <f>Masks!A181</f>
        <v>-102.76173871697614</v>
      </c>
      <c r="G181" s="2">
        <f>Masks!B181</f>
        <v>-102.76173871697614</v>
      </c>
      <c r="H181" s="2">
        <f>Calculate[[#This Row],[Tx_PSD_us]]+Calculate[[#This Row],[IL]]</f>
        <v>-134.63207276829061</v>
      </c>
      <c r="I181" s="2">
        <f>Calculate[[#This Row],[Tx_PSD_ds]]+Calculate[[#This Row],[IL]]</f>
        <v>-134.63207276829061</v>
      </c>
      <c r="J181" s="2">
        <f>Masks[[#This Row],[channel_echo]]</f>
        <v>-8.5174128965547009</v>
      </c>
      <c r="K181" s="2">
        <f>Masks[[#This Row],[channel_echo]]</f>
        <v>-8.5174128965547009</v>
      </c>
      <c r="L181" s="2">
        <f>Calculate[[#This Row],[Echo_transfer_us]]+Calculate[[#This Row],[Tx_PSD_ds]]</f>
        <v>-111.27915161353084</v>
      </c>
      <c r="M181" s="2">
        <f>Calculate[[#This Row],[Echo_transfer_ds]]+Calculate[[#This Row],[Tx_PSD_us]]</f>
        <v>-111.27915161353084</v>
      </c>
      <c r="N181" s="2">
        <f t="shared" si="25"/>
        <v>-140</v>
      </c>
      <c r="O181" s="2">
        <f t="shared" si="26"/>
        <v>-140</v>
      </c>
      <c r="P181" s="2">
        <f t="shared" si="27"/>
        <v>6</v>
      </c>
      <c r="Q181" s="2">
        <f t="shared" si="28"/>
        <v>6</v>
      </c>
      <c r="R181" s="2">
        <f>10*LOG10((10^(Calculate[[#This Row],[Rx_echo_us]]/10))-(10^((Masks[[#This Row],[connector_echo]]+Calculate[[#This Row],[Tx_PSD_ds]])/10))*EC_conector_ratio_us)-Calculate[[#This Row],[EC_cancelation_us]]</f>
        <v>-150.40255246359681</v>
      </c>
      <c r="S181" s="2">
        <f>10*LOG10((10^(Calculate[[#This Row],[Rx_echo_ds]]/10))-(10^((Masks[[#This Row],[connector_echo]]+Calculate[[#This Row],[Tx_PSD_us]])/10))*EC_conector_ratio_ds)-Calculate[[#This Row],[EC_cancelation_ds]]</f>
        <v>-150.40255246359681</v>
      </c>
      <c r="T181" s="1">
        <f>(POWER(10,Calculate[[#This Row],[AFE_noise_us]]/10)+POWER(10,Calculate[[#This Row],[Echo_res_us]]/10))</f>
        <v>1.0911474983934848E-14</v>
      </c>
      <c r="U181" s="1">
        <f>(POWER(10,Calculate[[#This Row],[AFE_noise_ds]]/10)+POWER(10,Calculate[[#This Row],[Echo_res_ds]]/10))</f>
        <v>1.0911474983934848E-14</v>
      </c>
      <c r="V181" s="2">
        <f>10*LOG10(Calculate[[#This Row],[Linear_Noise_us]])</f>
        <v>-139.6211653867966</v>
      </c>
      <c r="W181" s="2">
        <f>10*LOG10(Calculate[[#This Row],[Linear_Noise_ds]])</f>
        <v>-139.6211653867966</v>
      </c>
      <c r="X181" s="2">
        <f>Calculate[[#This Row],[Rx_PSD_us]]-Calculate[[#This Row],[Noise_us]]</f>
        <v>4.9890926185059925</v>
      </c>
      <c r="Y181" s="2">
        <f>Calculate[[#This Row],[Rx_PSD_ds]]-Calculate[[#This Row],[Noise_ds]]</f>
        <v>4.9890926185059925</v>
      </c>
      <c r="Z181" s="2">
        <f>POWER(10,Calculate[[#This Row],[SNRdB_us]]/10)</f>
        <v>3.1543455098275053</v>
      </c>
      <c r="AA181" s="2">
        <f>POWER(10,Calculate[[#This Row],[SNRdB_ds]]/10)</f>
        <v>3.1543455098275053</v>
      </c>
      <c r="AB181" s="2">
        <f>-(0.002*Calculate[[#This Row],[Freq]]/1000000/2.5+0.68*(Calculate[[#This Row],[Freq]]/1000000/2.5)^0.45)</f>
        <v>-32.317718796338568</v>
      </c>
      <c r="AC181" s="2"/>
    </row>
    <row r="182" spans="1:29" x14ac:dyDescent="0.25">
      <c r="A182" s="33">
        <f t="shared" si="29"/>
        <v>8145000000</v>
      </c>
      <c r="B182" s="1">
        <f>Calculate[[#This Row],[Freq]]-A181</f>
        <v>45000000</v>
      </c>
      <c r="C182" s="1">
        <f>Channels!B182*cable_length</f>
        <v>-29.287792648422194</v>
      </c>
      <c r="D182" s="1">
        <f>Channels!C182*PCB_trace_length</f>
        <v>-2.7004125209651355</v>
      </c>
      <c r="E182" s="1">
        <f>Calculate[[#This Row],[IL_Cable]]+Calculate[[#This Row],[IL_PCB]]</f>
        <v>-31.988205169387328</v>
      </c>
      <c r="F182" s="2">
        <f>Masks!A182</f>
        <v>-102.83157985613663</v>
      </c>
      <c r="G182" s="2">
        <f>Masks!B182</f>
        <v>-102.83157985613663</v>
      </c>
      <c r="H182" s="2">
        <f>Calculate[[#This Row],[Tx_PSD_us]]+Calculate[[#This Row],[IL]]</f>
        <v>-134.81978502552397</v>
      </c>
      <c r="I182" s="2">
        <f>Calculate[[#This Row],[Tx_PSD_ds]]+Calculate[[#This Row],[IL]]</f>
        <v>-134.81978502552397</v>
      </c>
      <c r="J182" s="2">
        <f>Masks[[#This Row],[channel_echo]]</f>
        <v>-8.4938619181050257</v>
      </c>
      <c r="K182" s="2">
        <f>Masks[[#This Row],[channel_echo]]</f>
        <v>-8.4938619181050257</v>
      </c>
      <c r="L182" s="2">
        <f>Calculate[[#This Row],[Echo_transfer_us]]+Calculate[[#This Row],[Tx_PSD_ds]]</f>
        <v>-111.32544177424165</v>
      </c>
      <c r="M182" s="2">
        <f>Calculate[[#This Row],[Echo_transfer_ds]]+Calculate[[#This Row],[Tx_PSD_us]]</f>
        <v>-111.32544177424165</v>
      </c>
      <c r="N182" s="2">
        <f t="shared" si="25"/>
        <v>-140</v>
      </c>
      <c r="O182" s="2">
        <f t="shared" si="26"/>
        <v>-140</v>
      </c>
      <c r="P182" s="2">
        <f t="shared" si="27"/>
        <v>6</v>
      </c>
      <c r="Q182" s="2">
        <f t="shared" si="28"/>
        <v>6</v>
      </c>
      <c r="R182" s="2">
        <f>10*LOG10((10^(Calculate[[#This Row],[Rx_echo_us]]/10))-(10^((Masks[[#This Row],[connector_echo]]+Calculate[[#This Row],[Tx_PSD_ds]])/10))*EC_conector_ratio_us)-Calculate[[#This Row],[EC_cancelation_us]]</f>
        <v>-150.47239360281495</v>
      </c>
      <c r="S182" s="2">
        <f>10*LOG10((10^(Calculate[[#This Row],[Rx_echo_ds]]/10))-(10^((Masks[[#This Row],[connector_echo]]+Calculate[[#This Row],[Tx_PSD_us]])/10))*EC_conector_ratio_ds)-Calculate[[#This Row],[EC_cancelation_ds]]</f>
        <v>-150.47239360281495</v>
      </c>
      <c r="T182" s="1">
        <f>(POWER(10,Calculate[[#This Row],[AFE_noise_us]]/10)+POWER(10,Calculate[[#This Row],[Echo_res_us]]/10))</f>
        <v>1.08969343152176E-14</v>
      </c>
      <c r="U182" s="1">
        <f>(POWER(10,Calculate[[#This Row],[AFE_noise_ds]]/10)+POWER(10,Calculate[[#This Row],[Echo_res_ds]]/10))</f>
        <v>1.08969343152176E-14</v>
      </c>
      <c r="V182" s="2">
        <f>10*LOG10(Calculate[[#This Row],[Linear_Noise_us]])</f>
        <v>-139.62695666944933</v>
      </c>
      <c r="W182" s="2">
        <f>10*LOG10(Calculate[[#This Row],[Linear_Noise_ds]])</f>
        <v>-139.62695666944933</v>
      </c>
      <c r="X182" s="2">
        <f>Calculate[[#This Row],[Rx_PSD_us]]-Calculate[[#This Row],[Noise_us]]</f>
        <v>4.8071716439253578</v>
      </c>
      <c r="Y182" s="2">
        <f>Calculate[[#This Row],[Rx_PSD_ds]]-Calculate[[#This Row],[Noise_ds]]</f>
        <v>4.8071716439253578</v>
      </c>
      <c r="Z182" s="2">
        <f>POWER(10,Calculate[[#This Row],[SNRdB_us]]/10)</f>
        <v>3.0249427832524178</v>
      </c>
      <c r="AA182" s="2">
        <f>POWER(10,Calculate[[#This Row],[SNRdB_ds]]/10)</f>
        <v>3.0249427832524178</v>
      </c>
      <c r="AB182" s="2">
        <f>-(0.002*Calculate[[#This Row],[Freq]]/1000000/2.5+0.68*(Calculate[[#This Row],[Freq]]/1000000/2.5)^0.45)</f>
        <v>-32.418214689863206</v>
      </c>
      <c r="AC182" s="2"/>
    </row>
    <row r="183" spans="1:29" x14ac:dyDescent="0.25">
      <c r="A183" s="33">
        <f t="shared" si="29"/>
        <v>8190000000</v>
      </c>
      <c r="B183" s="1">
        <f>Calculate[[#This Row],[Freq]]-A182</f>
        <v>45000000</v>
      </c>
      <c r="C183" s="1">
        <f>Channels!B183*cable_length</f>
        <v>-29.391434164390979</v>
      </c>
      <c r="D183" s="1">
        <f>Channels!C183*PCB_trace_length</f>
        <v>-2.7144793012590909</v>
      </c>
      <c r="E183" s="1">
        <f>Calculate[[#This Row],[IL_Cable]]+Calculate[[#This Row],[IL_PCB]]</f>
        <v>-32.105913465650069</v>
      </c>
      <c r="F183" s="2">
        <f>Masks!A183</f>
        <v>-102.90209038818259</v>
      </c>
      <c r="G183" s="2">
        <f>Masks!B183</f>
        <v>-102.90209038818259</v>
      </c>
      <c r="H183" s="2">
        <f>Calculate[[#This Row],[Tx_PSD_us]]+Calculate[[#This Row],[IL]]</f>
        <v>-135.00800385383266</v>
      </c>
      <c r="I183" s="2">
        <f>Calculate[[#This Row],[Tx_PSD_ds]]+Calculate[[#This Row],[IL]]</f>
        <v>-135.00800385383266</v>
      </c>
      <c r="J183" s="2">
        <f>Masks[[#This Row],[channel_echo]]</f>
        <v>-8.4704379636939073</v>
      </c>
      <c r="K183" s="2">
        <f>Masks[[#This Row],[channel_echo]]</f>
        <v>-8.4704379636939073</v>
      </c>
      <c r="L183" s="2">
        <f>Calculate[[#This Row],[Echo_transfer_us]]+Calculate[[#This Row],[Tx_PSD_ds]]</f>
        <v>-111.3725283518765</v>
      </c>
      <c r="M183" s="2">
        <f>Calculate[[#This Row],[Echo_transfer_ds]]+Calculate[[#This Row],[Tx_PSD_us]]</f>
        <v>-111.3725283518765</v>
      </c>
      <c r="N183" s="2">
        <f t="shared" si="25"/>
        <v>-140</v>
      </c>
      <c r="O183" s="2">
        <f t="shared" si="26"/>
        <v>-140</v>
      </c>
      <c r="P183" s="2">
        <f t="shared" si="27"/>
        <v>6</v>
      </c>
      <c r="Q183" s="2">
        <f t="shared" si="28"/>
        <v>6</v>
      </c>
      <c r="R183" s="2">
        <f>10*LOG10((10^(Calculate[[#This Row],[Rx_echo_us]]/10))-(10^((Masks[[#This Row],[connector_echo]]+Calculate[[#This Row],[Tx_PSD_ds]])/10))*EC_conector_ratio_us)-Calculate[[#This Row],[EC_cancelation_us]]</f>
        <v>-150.54290413489039</v>
      </c>
      <c r="S183" s="2">
        <f>10*LOG10((10^(Calculate[[#This Row],[Rx_echo_ds]]/10))-(10^((Masks[[#This Row],[connector_echo]]+Calculate[[#This Row],[Tx_PSD_us]])/10))*EC_conector_ratio_ds)-Calculate[[#This Row],[EC_cancelation_ds]]</f>
        <v>-150.54290413489039</v>
      </c>
      <c r="T183" s="1">
        <f>(POWER(10,Calculate[[#This Row],[AFE_noise_us]]/10)+POWER(10,Calculate[[#This Row],[Echo_res_us]]/10))</f>
        <v>1.0882489580721424E-14</v>
      </c>
      <c r="U183" s="1">
        <f>(POWER(10,Calculate[[#This Row],[AFE_noise_ds]]/10)+POWER(10,Calculate[[#This Row],[Echo_res_ds]]/10))</f>
        <v>1.0882489580721424E-14</v>
      </c>
      <c r="V183" s="2">
        <f>10*LOG10(Calculate[[#This Row],[Linear_Noise_us]])</f>
        <v>-139.63271739979189</v>
      </c>
      <c r="W183" s="2">
        <f>10*LOG10(Calculate[[#This Row],[Linear_Noise_ds]])</f>
        <v>-139.63271739979189</v>
      </c>
      <c r="X183" s="2">
        <f>Calculate[[#This Row],[Rx_PSD_us]]-Calculate[[#This Row],[Noise_us]]</f>
        <v>4.6247135459592243</v>
      </c>
      <c r="Y183" s="2">
        <f>Calculate[[#This Row],[Rx_PSD_ds]]-Calculate[[#This Row],[Noise_ds]]</f>
        <v>4.6247135459592243</v>
      </c>
      <c r="Z183" s="2">
        <f>POWER(10,Calculate[[#This Row],[SNRdB_us]]/10)</f>
        <v>2.900489880478728</v>
      </c>
      <c r="AA183" s="2">
        <f>POWER(10,Calculate[[#This Row],[SNRdB_ds]]/10)</f>
        <v>2.900489880478728</v>
      </c>
      <c r="AB183" s="2">
        <f>-(0.002*Calculate[[#This Row],[Freq]]/1000000/2.5+0.68*(Calculate[[#This Row],[Freq]]/1000000/2.5)^0.45)</f>
        <v>-32.518514897584907</v>
      </c>
      <c r="AC183" s="2"/>
    </row>
    <row r="184" spans="1:29" x14ac:dyDescent="0.25">
      <c r="A184" s="33">
        <f t="shared" si="29"/>
        <v>8235000000</v>
      </c>
      <c r="B184" s="1">
        <f>Calculate[[#This Row],[Freq]]-A183</f>
        <v>45000000</v>
      </c>
      <c r="C184" s="1">
        <f>Channels!B184*cable_length</f>
        <v>-29.49491653140328</v>
      </c>
      <c r="D184" s="1">
        <f>Channels!C184*PCB_trace_length</f>
        <v>-2.7285437488092859</v>
      </c>
      <c r="E184" s="1">
        <f>Calculate[[#This Row],[IL_Cable]]+Calculate[[#This Row],[IL_PCB]]</f>
        <v>-32.223460280212564</v>
      </c>
      <c r="F184" s="2">
        <f>Masks!A184</f>
        <v>-102.97327810650708</v>
      </c>
      <c r="G184" s="2">
        <f>Masks!B184</f>
        <v>-102.97327810650708</v>
      </c>
      <c r="H184" s="2">
        <f>Calculate[[#This Row],[Tx_PSD_us]]+Calculate[[#This Row],[IL]]</f>
        <v>-135.19673838671963</v>
      </c>
      <c r="I184" s="2">
        <f>Calculate[[#This Row],[Tx_PSD_ds]]+Calculate[[#This Row],[IL]]</f>
        <v>-135.19673838671963</v>
      </c>
      <c r="J184" s="2">
        <f>Masks[[#This Row],[channel_echo]]</f>
        <v>-8.4471396704407447</v>
      </c>
      <c r="K184" s="2">
        <f>Masks[[#This Row],[channel_echo]]</f>
        <v>-8.4471396704407447</v>
      </c>
      <c r="L184" s="2">
        <f>Calculate[[#This Row],[Echo_transfer_us]]+Calculate[[#This Row],[Tx_PSD_ds]]</f>
        <v>-111.42041777694783</v>
      </c>
      <c r="M184" s="2">
        <f>Calculate[[#This Row],[Echo_transfer_ds]]+Calculate[[#This Row],[Tx_PSD_us]]</f>
        <v>-111.42041777694783</v>
      </c>
      <c r="N184" s="2">
        <f t="shared" si="25"/>
        <v>-140</v>
      </c>
      <c r="O184" s="2">
        <f t="shared" si="26"/>
        <v>-140</v>
      </c>
      <c r="P184" s="2">
        <f t="shared" si="27"/>
        <v>6</v>
      </c>
      <c r="Q184" s="2">
        <f t="shared" si="28"/>
        <v>6</v>
      </c>
      <c r="R184" s="2">
        <f>10*LOG10((10^(Calculate[[#This Row],[Rx_echo_us]]/10))-(10^((Masks[[#This Row],[connector_echo]]+Calculate[[#This Row],[Tx_PSD_ds]])/10))*EC_conector_ratio_us)-Calculate[[#This Row],[EC_cancelation_us]]</f>
        <v>-150.6140918531579</v>
      </c>
      <c r="S184" s="2">
        <f>10*LOG10((10^(Calculate[[#This Row],[Rx_echo_ds]]/10))-(10^((Masks[[#This Row],[connector_echo]]+Calculate[[#This Row],[Tx_PSD_us]])/10))*EC_conector_ratio_ds)-Calculate[[#This Row],[EC_cancelation_ds]]</f>
        <v>-150.6140918531579</v>
      </c>
      <c r="T184" s="1">
        <f>(POWER(10,Calculate[[#This Row],[AFE_noise_us]]/10)+POWER(10,Calculate[[#This Row],[Echo_res_us]]/10))</f>
        <v>1.0868142094237521E-14</v>
      </c>
      <c r="U184" s="1">
        <f>(POWER(10,Calculate[[#This Row],[AFE_noise_ds]]/10)+POWER(10,Calculate[[#This Row],[Echo_res_ds]]/10))</f>
        <v>1.0868142094237521E-14</v>
      </c>
      <c r="V184" s="2">
        <f>10*LOG10(Calculate[[#This Row],[Linear_Noise_us]])</f>
        <v>-139.63844692085223</v>
      </c>
      <c r="W184" s="2">
        <f>10*LOG10(Calculate[[#This Row],[Linear_Noise_ds]])</f>
        <v>-139.63844692085223</v>
      </c>
      <c r="X184" s="2">
        <f>Calculate[[#This Row],[Rx_PSD_us]]-Calculate[[#This Row],[Noise_us]]</f>
        <v>4.4417085341326015</v>
      </c>
      <c r="Y184" s="2">
        <f>Calculate[[#This Row],[Rx_PSD_ds]]-Calculate[[#This Row],[Noise_ds]]</f>
        <v>4.4417085341326015</v>
      </c>
      <c r="Z184" s="2">
        <f>POWER(10,Calculate[[#This Row],[SNRdB_us]]/10)</f>
        <v>2.780807034662284</v>
      </c>
      <c r="AA184" s="2">
        <f>POWER(10,Calculate[[#This Row],[SNRdB_ds]]/10)</f>
        <v>2.780807034662284</v>
      </c>
      <c r="AB184" s="2">
        <f>-(0.002*Calculate[[#This Row],[Freq]]/1000000/2.5+0.68*(Calculate[[#This Row],[Freq]]/1000000/2.5)^0.45)</f>
        <v>-32.618621083559724</v>
      </c>
      <c r="AC184" s="2"/>
    </row>
    <row r="185" spans="1:29" x14ac:dyDescent="0.25">
      <c r="A185" s="33">
        <f t="shared" si="29"/>
        <v>8280000000</v>
      </c>
      <c r="B185" s="1">
        <f>Calculate[[#This Row],[Freq]]-A184</f>
        <v>45000000</v>
      </c>
      <c r="C185" s="1">
        <f>Channels!B185*cable_length</f>
        <v>-29.598241052191238</v>
      </c>
      <c r="D185" s="1">
        <f>Channels!C185*PCB_trace_length</f>
        <v>-2.7426058827106643</v>
      </c>
      <c r="E185" s="1">
        <f>Calculate[[#This Row],[IL_Cable]]+Calculate[[#This Row],[IL_PCB]]</f>
        <v>-32.340846934901904</v>
      </c>
      <c r="F185" s="2">
        <f>Masks!A185</f>
        <v>-103.04515098686439</v>
      </c>
      <c r="G185" s="2">
        <f>Masks!B185</f>
        <v>-103.04515098686439</v>
      </c>
      <c r="H185" s="2">
        <f>Calculate[[#This Row],[Tx_PSD_us]]+Calculate[[#This Row],[IL]]</f>
        <v>-135.38599792176629</v>
      </c>
      <c r="I185" s="2">
        <f>Calculate[[#This Row],[Tx_PSD_ds]]+Calculate[[#This Row],[IL]]</f>
        <v>-135.38599792176629</v>
      </c>
      <c r="J185" s="2">
        <f>Masks[[#This Row],[channel_echo]]</f>
        <v>-8.4239656972821138</v>
      </c>
      <c r="K185" s="2">
        <f>Masks[[#This Row],[channel_echo]]</f>
        <v>-8.4239656972821138</v>
      </c>
      <c r="L185" s="2">
        <f>Calculate[[#This Row],[Echo_transfer_us]]+Calculate[[#This Row],[Tx_PSD_ds]]</f>
        <v>-111.4691166841465</v>
      </c>
      <c r="M185" s="2">
        <f>Calculate[[#This Row],[Echo_transfer_ds]]+Calculate[[#This Row],[Tx_PSD_us]]</f>
        <v>-111.4691166841465</v>
      </c>
      <c r="N185" s="2">
        <f t="shared" si="25"/>
        <v>-140</v>
      </c>
      <c r="O185" s="2">
        <f t="shared" si="26"/>
        <v>-140</v>
      </c>
      <c r="P185" s="2">
        <f t="shared" si="27"/>
        <v>6</v>
      </c>
      <c r="Q185" s="2">
        <f t="shared" si="28"/>
        <v>6</v>
      </c>
      <c r="R185" s="2">
        <f>10*LOG10((10^(Calculate[[#This Row],[Rx_echo_us]]/10))-(10^((Masks[[#This Row],[connector_echo]]+Calculate[[#This Row],[Tx_PSD_ds]])/10))*EC_conector_ratio_us)-Calculate[[#This Row],[EC_cancelation_us]]</f>
        <v>-150.68596473351906</v>
      </c>
      <c r="S185" s="2">
        <f>10*LOG10((10^(Calculate[[#This Row],[Rx_echo_ds]]/10))-(10^((Masks[[#This Row],[connector_echo]]+Calculate[[#This Row],[Tx_PSD_us]])/10))*EC_conector_ratio_ds)-Calculate[[#This Row],[EC_cancelation_ds]]</f>
        <v>-150.68596473351906</v>
      </c>
      <c r="T185" s="1">
        <f>(POWER(10,Calculate[[#This Row],[AFE_noise_us]]/10)+POWER(10,Calculate[[#This Row],[Echo_res_us]]/10))</f>
        <v>1.0853893144146829E-14</v>
      </c>
      <c r="U185" s="1">
        <f>(POWER(10,Calculate[[#This Row],[AFE_noise_ds]]/10)+POWER(10,Calculate[[#This Row],[Echo_res_ds]]/10))</f>
        <v>1.0853893144146829E-14</v>
      </c>
      <c r="V185" s="2">
        <f>10*LOG10(Calculate[[#This Row],[Linear_Noise_us]])</f>
        <v>-139.64414458335668</v>
      </c>
      <c r="W185" s="2">
        <f>10*LOG10(Calculate[[#This Row],[Linear_Noise_ds]])</f>
        <v>-139.64414458335668</v>
      </c>
      <c r="X185" s="2">
        <f>Calculate[[#This Row],[Rx_PSD_us]]-Calculate[[#This Row],[Noise_us]]</f>
        <v>4.2581466615903878</v>
      </c>
      <c r="Y185" s="2">
        <f>Calculate[[#This Row],[Rx_PSD_ds]]-Calculate[[#This Row],[Noise_ds]]</f>
        <v>4.2581466615903878</v>
      </c>
      <c r="Z185" s="2">
        <f>POWER(10,Calculate[[#This Row],[SNRdB_us]]/10)</f>
        <v>2.6657208335487281</v>
      </c>
      <c r="AA185" s="2">
        <f>POWER(10,Calculate[[#This Row],[SNRdB_ds]]/10)</f>
        <v>2.6657208335487281</v>
      </c>
      <c r="AB185" s="2">
        <f>-(0.002*Calculate[[#This Row],[Freq]]/1000000/2.5+0.68*(Calculate[[#This Row],[Freq]]/1000000/2.5)^0.45)</f>
        <v>-32.71853488869057</v>
      </c>
      <c r="AC185" s="2"/>
    </row>
    <row r="186" spans="1:29" x14ac:dyDescent="0.25">
      <c r="A186" s="33">
        <f t="shared" si="29"/>
        <v>8325000000</v>
      </c>
      <c r="B186" s="1">
        <f>Calculate[[#This Row],[Freq]]-A185</f>
        <v>45000000</v>
      </c>
      <c r="C186" s="1">
        <f>Channels!B186*cable_length</f>
        <v>-29.701409011810622</v>
      </c>
      <c r="D186" s="1">
        <f>Channels!C186*PCB_trace_length</f>
        <v>-2.7566657217990764</v>
      </c>
      <c r="E186" s="1">
        <f>Calculate[[#This Row],[IL_Cable]]+Calculate[[#This Row],[IL_PCB]]</f>
        <v>-32.458074733609699</v>
      </c>
      <c r="F186" s="2">
        <f>Masks!A186</f>
        <v>-103.11771719299212</v>
      </c>
      <c r="G186" s="2">
        <f>Masks!B186</f>
        <v>-103.11771719299212</v>
      </c>
      <c r="H186" s="2">
        <f>Calculate[[#This Row],[Tx_PSD_us]]+Calculate[[#This Row],[IL]]</f>
        <v>-135.57579192660182</v>
      </c>
      <c r="I186" s="2">
        <f>Calculate[[#This Row],[Tx_PSD_ds]]+Calculate[[#This Row],[IL]]</f>
        <v>-135.57579192660182</v>
      </c>
      <c r="J186" s="2">
        <f>Masks[[#This Row],[channel_echo]]</f>
        <v>-8.4009147245085565</v>
      </c>
      <c r="K186" s="2">
        <f>Masks[[#This Row],[channel_echo]]</f>
        <v>-8.4009147245085565</v>
      </c>
      <c r="L186" s="2">
        <f>Calculate[[#This Row],[Echo_transfer_us]]+Calculate[[#This Row],[Tx_PSD_ds]]</f>
        <v>-111.51863191750067</v>
      </c>
      <c r="M186" s="2">
        <f>Calculate[[#This Row],[Echo_transfer_ds]]+Calculate[[#This Row],[Tx_PSD_us]]</f>
        <v>-111.51863191750067</v>
      </c>
      <c r="N186" s="2">
        <f t="shared" si="25"/>
        <v>-140</v>
      </c>
      <c r="O186" s="2">
        <f t="shared" si="26"/>
        <v>-140</v>
      </c>
      <c r="P186" s="2">
        <f t="shared" si="27"/>
        <v>6</v>
      </c>
      <c r="Q186" s="2">
        <f t="shared" si="28"/>
        <v>6</v>
      </c>
      <c r="R186" s="2">
        <f>10*LOG10((10^(Calculate[[#This Row],[Rx_echo_us]]/10))-(10^((Masks[[#This Row],[connector_echo]]+Calculate[[#This Row],[Tx_PSD_ds]])/10))*EC_conector_ratio_us)-Calculate[[#This Row],[EC_cancelation_us]]</f>
        <v>-150.75853093964878</v>
      </c>
      <c r="S186" s="2">
        <f>10*LOG10((10^(Calculate[[#This Row],[Rx_echo_ds]]/10))-(10^((Masks[[#This Row],[connector_echo]]+Calculate[[#This Row],[Tx_PSD_us]])/10))*EC_conector_ratio_ds)-Calculate[[#This Row],[EC_cancelation_ds]]</f>
        <v>-150.75853093964878</v>
      </c>
      <c r="T186" s="1">
        <f>(POWER(10,Calculate[[#This Row],[AFE_noise_us]]/10)+POWER(10,Calculate[[#This Row],[Echo_res_us]]/10))</f>
        <v>1.0839743993347444E-14</v>
      </c>
      <c r="U186" s="1">
        <f>(POWER(10,Calculate[[#This Row],[AFE_noise_ds]]/10)+POWER(10,Calculate[[#This Row],[Echo_res_ds]]/10))</f>
        <v>1.0839743993347444E-14</v>
      </c>
      <c r="V186" s="2">
        <f>10*LOG10(Calculate[[#This Row],[Linear_Noise_us]])</f>
        <v>-139.64980974586325</v>
      </c>
      <c r="W186" s="2">
        <f>10*LOG10(Calculate[[#This Row],[Linear_Noise_ds]])</f>
        <v>-139.64980974586325</v>
      </c>
      <c r="X186" s="2">
        <f>Calculate[[#This Row],[Rx_PSD_us]]-Calculate[[#This Row],[Noise_us]]</f>
        <v>4.074017819261428</v>
      </c>
      <c r="Y186" s="2">
        <f>Calculate[[#This Row],[Rx_PSD_ds]]-Calculate[[#This Row],[Noise_ds]]</f>
        <v>4.074017819261428</v>
      </c>
      <c r="Z186" s="2">
        <f>POWER(10,Calculate[[#This Row],[SNRdB_us]]/10)</f>
        <v>2.5550639940127691</v>
      </c>
      <c r="AA186" s="2">
        <f>POWER(10,Calculate[[#This Row],[SNRdB_ds]]/10)</f>
        <v>2.5550639940127691</v>
      </c>
      <c r="AB186" s="2">
        <f>-(0.002*Calculate[[#This Row],[Freq]]/1000000/2.5+0.68*(Calculate[[#This Row],[Freq]]/1000000/2.5)^0.45)</f>
        <v>-32.818257931173207</v>
      </c>
      <c r="AC186" s="2"/>
    </row>
    <row r="187" spans="1:29" x14ac:dyDescent="0.25">
      <c r="A187" s="33">
        <f t="shared" si="29"/>
        <v>8370000000</v>
      </c>
      <c r="B187" s="1">
        <f>Calculate[[#This Row],[Freq]]-A186</f>
        <v>45000000</v>
      </c>
      <c r="C187" s="1">
        <f>Channels!B187*cable_length</f>
        <v>-29.804421677974794</v>
      </c>
      <c r="D187" s="1">
        <f>Channels!C187*PCB_trace_length</f>
        <v>-2.7707232846561718</v>
      </c>
      <c r="E187" s="1">
        <f>Calculate[[#This Row],[IL_Cable]]+Calculate[[#This Row],[IL_PCB]]</f>
        <v>-32.575144962630965</v>
      </c>
      <c r="F187" s="2">
        <f>Masks!A187</f>
        <v>-103.19098508245467</v>
      </c>
      <c r="G187" s="2">
        <f>Masks!B187</f>
        <v>-103.19098508245467</v>
      </c>
      <c r="H187" s="2">
        <f>Calculate[[#This Row],[Tx_PSD_us]]+Calculate[[#This Row],[IL]]</f>
        <v>-135.76613004508565</v>
      </c>
      <c r="I187" s="2">
        <f>Calculate[[#This Row],[Tx_PSD_ds]]+Calculate[[#This Row],[IL]]</f>
        <v>-135.76613004508565</v>
      </c>
      <c r="J187" s="2">
        <f>Masks[[#This Row],[channel_echo]]</f>
        <v>-8.3779854533136078</v>
      </c>
      <c r="K187" s="2">
        <f>Masks[[#This Row],[channel_echo]]</f>
        <v>-8.3779854533136078</v>
      </c>
      <c r="L187" s="2">
        <f>Calculate[[#This Row],[Echo_transfer_us]]+Calculate[[#This Row],[Tx_PSD_ds]]</f>
        <v>-111.56897053576829</v>
      </c>
      <c r="M187" s="2">
        <f>Calculate[[#This Row],[Echo_transfer_ds]]+Calculate[[#This Row],[Tx_PSD_us]]</f>
        <v>-111.56897053576829</v>
      </c>
      <c r="N187" s="2">
        <f t="shared" si="25"/>
        <v>-140</v>
      </c>
      <c r="O187" s="2">
        <f t="shared" si="26"/>
        <v>-140</v>
      </c>
      <c r="P187" s="2">
        <f t="shared" si="27"/>
        <v>6</v>
      </c>
      <c r="Q187" s="2">
        <f t="shared" si="28"/>
        <v>6</v>
      </c>
      <c r="R187" s="2">
        <f>10*LOG10((10^(Calculate[[#This Row],[Rx_echo_us]]/10))-(10^((Masks[[#This Row],[connector_echo]]+Calculate[[#This Row],[Tx_PSD_ds]])/10))*EC_conector_ratio_us)-Calculate[[#This Row],[EC_cancelation_us]]</f>
        <v>-150.83179882914874</v>
      </c>
      <c r="S187" s="2">
        <f>10*LOG10((10^(Calculate[[#This Row],[Rx_echo_ds]]/10))-(10^((Masks[[#This Row],[connector_echo]]+Calculate[[#This Row],[Tx_PSD_us]])/10))*EC_conector_ratio_ds)-Calculate[[#This Row],[EC_cancelation_ds]]</f>
        <v>-150.83179882914874</v>
      </c>
      <c r="T187" s="1">
        <f>(POWER(10,Calculate[[#This Row],[AFE_noise_us]]/10)+POWER(10,Calculate[[#This Row],[Echo_res_us]]/10))</f>
        <v>1.0825695879042298E-14</v>
      </c>
      <c r="U187" s="1">
        <f>(POWER(10,Calculate[[#This Row],[AFE_noise_ds]]/10)+POWER(10,Calculate[[#This Row],[Echo_res_ds]]/10))</f>
        <v>1.0825695879042298E-14</v>
      </c>
      <c r="V187" s="2">
        <f>10*LOG10(Calculate[[#This Row],[Linear_Noise_us]])</f>
        <v>-139.65544177495184</v>
      </c>
      <c r="W187" s="2">
        <f>10*LOG10(Calculate[[#This Row],[Linear_Noise_ds]])</f>
        <v>-139.65544177495184</v>
      </c>
      <c r="X187" s="2">
        <f>Calculate[[#This Row],[Rx_PSD_us]]-Calculate[[#This Row],[Noise_us]]</f>
        <v>3.8893117298661934</v>
      </c>
      <c r="Y187" s="2">
        <f>Calculate[[#This Row],[Rx_PSD_ds]]-Calculate[[#This Row],[Noise_ds]]</f>
        <v>3.8893117298661934</v>
      </c>
      <c r="Z187" s="2">
        <f>POWER(10,Calculate[[#This Row],[SNRdB_us]]/10)</f>
        <v>2.4486751449210891</v>
      </c>
      <c r="AA187" s="2">
        <f>POWER(10,Calculate[[#This Row],[SNRdB_ds]]/10)</f>
        <v>2.4486751449210891</v>
      </c>
      <c r="AB187" s="2">
        <f>-(0.002*Calculate[[#This Row],[Freq]]/1000000/2.5+0.68*(Calculate[[#This Row],[Freq]]/1000000/2.5)^0.45)</f>
        <v>-32.917791806931376</v>
      </c>
      <c r="AC187" s="2"/>
    </row>
    <row r="188" spans="1:29" x14ac:dyDescent="0.25">
      <c r="A188" s="33">
        <f t="shared" si="29"/>
        <v>8415000000</v>
      </c>
      <c r="B188" s="1">
        <f>Calculate[[#This Row],[Freq]]-A187</f>
        <v>45000000</v>
      </c>
      <c r="C188" s="1">
        <f>Channels!B188*cable_length</f>
        <v>-29.907280301380609</v>
      </c>
      <c r="D188" s="1">
        <f>Channels!C188*PCB_trace_length</f>
        <v>-2.7847785896141821</v>
      </c>
      <c r="E188" s="1">
        <f>Calculate[[#This Row],[IL_Cable]]+Calculate[[#This Row],[IL_PCB]]</f>
        <v>-32.692058890994794</v>
      </c>
      <c r="F188" s="2">
        <f>Masks!A188</f>
        <v>-103.2649632127186</v>
      </c>
      <c r="G188" s="2">
        <f>Masks!B188</f>
        <v>-103.2649632127186</v>
      </c>
      <c r="H188" s="2">
        <f>Calculate[[#This Row],[Tx_PSD_us]]+Calculate[[#This Row],[IL]]</f>
        <v>-135.9570221037134</v>
      </c>
      <c r="I188" s="2">
        <f>Calculate[[#This Row],[Tx_PSD_ds]]+Calculate[[#This Row],[IL]]</f>
        <v>-135.9570221037134</v>
      </c>
      <c r="J188" s="2">
        <f>Masks[[#This Row],[channel_echo]]</f>
        <v>-8.3551766053546803</v>
      </c>
      <c r="K188" s="2">
        <f>Masks[[#This Row],[channel_echo]]</f>
        <v>-8.3551766053546803</v>
      </c>
      <c r="L188" s="2">
        <f>Calculate[[#This Row],[Echo_transfer_us]]+Calculate[[#This Row],[Tx_PSD_ds]]</f>
        <v>-111.62013981807328</v>
      </c>
      <c r="M188" s="2">
        <f>Calculate[[#This Row],[Echo_transfer_ds]]+Calculate[[#This Row],[Tx_PSD_us]]</f>
        <v>-111.62013981807328</v>
      </c>
      <c r="N188" s="2">
        <f t="shared" si="25"/>
        <v>-140</v>
      </c>
      <c r="O188" s="2">
        <f t="shared" si="26"/>
        <v>-140</v>
      </c>
      <c r="P188" s="2">
        <f t="shared" si="27"/>
        <v>6</v>
      </c>
      <c r="Q188" s="2">
        <f t="shared" si="28"/>
        <v>6</v>
      </c>
      <c r="R188" s="2">
        <f>10*LOG10((10^(Calculate[[#This Row],[Rx_echo_us]]/10))-(10^((Masks[[#This Row],[connector_echo]]+Calculate[[#This Row],[Tx_PSD_ds]])/10))*EC_conector_ratio_us)-Calculate[[#This Row],[EC_cancelation_us]]</f>
        <v>-150.90577695939439</v>
      </c>
      <c r="S188" s="2">
        <f>10*LOG10((10^(Calculate[[#This Row],[Rx_echo_ds]]/10))-(10^((Masks[[#This Row],[connector_echo]]+Calculate[[#This Row],[Tx_PSD_us]])/10))*EC_conector_ratio_ds)-Calculate[[#This Row],[EC_cancelation_ds]]</f>
        <v>-150.90577695939439</v>
      </c>
      <c r="T188" s="1">
        <f>(POWER(10,Calculate[[#This Row],[AFE_noise_us]]/10)+POWER(10,Calculate[[#This Row],[Echo_res_us]]/10))</f>
        <v>1.0811750012639987E-14</v>
      </c>
      <c r="U188" s="1">
        <f>(POWER(10,Calculate[[#This Row],[AFE_noise_ds]]/10)+POWER(10,Calculate[[#This Row],[Echo_res_ds]]/10))</f>
        <v>1.0811750012639987E-14</v>
      </c>
      <c r="V188" s="2">
        <f>10*LOG10(Calculate[[#This Row],[Linear_Noise_us]])</f>
        <v>-139.66104004536956</v>
      </c>
      <c r="W188" s="2">
        <f>10*LOG10(Calculate[[#This Row],[Linear_Noise_ds]])</f>
        <v>-139.66104004536956</v>
      </c>
      <c r="X188" s="2">
        <f>Calculate[[#This Row],[Rx_PSD_us]]-Calculate[[#This Row],[Noise_us]]</f>
        <v>3.7040179416561614</v>
      </c>
      <c r="Y188" s="2">
        <f>Calculate[[#This Row],[Rx_PSD_ds]]-Calculate[[#This Row],[Noise_ds]]</f>
        <v>3.7040179416561614</v>
      </c>
      <c r="Z188" s="2">
        <f>POWER(10,Calculate[[#This Row],[SNRdB_us]]/10)</f>
        <v>2.346398617930666</v>
      </c>
      <c r="AA188" s="2">
        <f>POWER(10,Calculate[[#This Row],[SNRdB_ds]]/10)</f>
        <v>2.346398617930666</v>
      </c>
      <c r="AB188" s="2">
        <f>-(0.002*Calculate[[#This Row],[Freq]]/1000000/2.5+0.68*(Calculate[[#This Row],[Freq]]/1000000/2.5)^0.45)</f>
        <v>-33.017138090041243</v>
      </c>
      <c r="AC188" s="2"/>
    </row>
    <row r="189" spans="1:29" x14ac:dyDescent="0.25">
      <c r="A189" s="33">
        <f t="shared" si="29"/>
        <v>8460000000</v>
      </c>
      <c r="B189" s="1">
        <f>Calculate[[#This Row],[Freq]]-A188</f>
        <v>45000000</v>
      </c>
      <c r="C189" s="1">
        <f>Channels!B189*cable_length</f>
        <v>-30.0099861160265</v>
      </c>
      <c r="D189" s="1">
        <f>Channels!C189*PCB_trace_length</f>
        <v>-2.7988316547605785</v>
      </c>
      <c r="E189" s="1">
        <f>Calculate[[#This Row],[IL_Cable]]+Calculate[[#This Row],[IL_PCB]]</f>
        <v>-32.80881777078708</v>
      </c>
      <c r="F189" s="2">
        <f>Masks!A189</f>
        <v>-103.33966034747093</v>
      </c>
      <c r="G189" s="2">
        <f>Masks!B189</f>
        <v>-103.33966034747093</v>
      </c>
      <c r="H189" s="2">
        <f>Calculate[[#This Row],[Tx_PSD_us]]+Calculate[[#This Row],[IL]]</f>
        <v>-136.148478118258</v>
      </c>
      <c r="I189" s="2">
        <f>Calculate[[#This Row],[Tx_PSD_ds]]+Calculate[[#This Row],[IL]]</f>
        <v>-136.148478118258</v>
      </c>
      <c r="J189" s="2">
        <f>Masks[[#This Row],[channel_echo]]</f>
        <v>-8.3324869223253977</v>
      </c>
      <c r="K189" s="2">
        <f>Masks[[#This Row],[channel_echo]]</f>
        <v>-8.3324869223253977</v>
      </c>
      <c r="L189" s="2">
        <f>Calculate[[#This Row],[Echo_transfer_us]]+Calculate[[#This Row],[Tx_PSD_ds]]</f>
        <v>-111.67214726979633</v>
      </c>
      <c r="M189" s="2">
        <f>Calculate[[#This Row],[Echo_transfer_ds]]+Calculate[[#This Row],[Tx_PSD_us]]</f>
        <v>-111.67214726979633</v>
      </c>
      <c r="N189" s="2">
        <f t="shared" si="25"/>
        <v>-140</v>
      </c>
      <c r="O189" s="2">
        <f t="shared" si="26"/>
        <v>-140</v>
      </c>
      <c r="P189" s="2">
        <f t="shared" si="27"/>
        <v>6</v>
      </c>
      <c r="Q189" s="2">
        <f t="shared" si="28"/>
        <v>6</v>
      </c>
      <c r="R189" s="2">
        <f>10*LOG10((10^(Calculate[[#This Row],[Rx_echo_us]]/10))-(10^((Masks[[#This Row],[connector_echo]]+Calculate[[#This Row],[Tx_PSD_ds]])/10))*EC_conector_ratio_us)-Calculate[[#This Row],[EC_cancelation_us]]</f>
        <v>-150.98047409416202</v>
      </c>
      <c r="S189" s="2">
        <f>10*LOG10((10^(Calculate[[#This Row],[Rx_echo_ds]]/10))-(10^((Masks[[#This Row],[connector_echo]]+Calculate[[#This Row],[Tx_PSD_us]])/10))*EC_conector_ratio_ds)-Calculate[[#This Row],[EC_cancelation_ds]]</f>
        <v>-150.98047409416202</v>
      </c>
      <c r="T189" s="1">
        <f>(POWER(10,Calculate[[#This Row],[AFE_noise_us]]/10)+POWER(10,Calculate[[#This Row],[Echo_res_us]]/10))</f>
        <v>1.0797907579558964E-14</v>
      </c>
      <c r="U189" s="1">
        <f>(POWER(10,Calculate[[#This Row],[AFE_noise_ds]]/10)+POWER(10,Calculate[[#This Row],[Echo_res_ds]]/10))</f>
        <v>1.0797907579558964E-14</v>
      </c>
      <c r="V189" s="2">
        <f>10*LOG10(Calculate[[#This Row],[Linear_Noise_us]])</f>
        <v>-139.66660394021596</v>
      </c>
      <c r="W189" s="2">
        <f>10*LOG10(Calculate[[#This Row],[Linear_Noise_ds]])</f>
        <v>-139.66660394021596</v>
      </c>
      <c r="X189" s="2">
        <f>Calculate[[#This Row],[Rx_PSD_us]]-Calculate[[#This Row],[Noise_us]]</f>
        <v>3.5181258219579661</v>
      </c>
      <c r="Y189" s="2">
        <f>Calculate[[#This Row],[Rx_PSD_ds]]-Calculate[[#This Row],[Noise_ds]]</f>
        <v>3.5181258219579661</v>
      </c>
      <c r="Z189" s="2">
        <f>POWER(10,Calculate[[#This Row],[SNRdB_us]]/10)</f>
        <v>2.2480842459638022</v>
      </c>
      <c r="AA189" s="2">
        <f>POWER(10,Calculate[[#This Row],[SNRdB_ds]]/10)</f>
        <v>2.2480842459638022</v>
      </c>
      <c r="AB189" s="2">
        <f>-(0.002*Calculate[[#This Row],[Freq]]/1000000/2.5+0.68*(Calculate[[#This Row],[Freq]]/1000000/2.5)^0.45)</f>
        <v>-33.116298333145537</v>
      </c>
      <c r="AC189" s="2"/>
    </row>
    <row r="190" spans="1:29" x14ac:dyDescent="0.25">
      <c r="A190" s="33">
        <f t="shared" si="29"/>
        <v>8505000000</v>
      </c>
      <c r="B190" s="1">
        <f>Calculate[[#This Row],[Freq]]-A189</f>
        <v>45000000</v>
      </c>
      <c r="C190" s="1">
        <f>Channels!B190*cable_length</f>
        <v>-30.112540339522923</v>
      </c>
      <c r="D190" s="1">
        <f>Channels!C190*PCB_trace_length</f>
        <v>-2.8128824979426224</v>
      </c>
      <c r="E190" s="1">
        <f>Calculate[[#This Row],[IL_Cable]]+Calculate[[#This Row],[IL_PCB]]</f>
        <v>-32.925422837465547</v>
      </c>
      <c r="F190" s="2">
        <f>Masks!A190</f>
        <v>-103.41508546319226</v>
      </c>
      <c r="G190" s="2">
        <f>Masks!B190</f>
        <v>-103.41508546319226</v>
      </c>
      <c r="H190" s="2">
        <f>Calculate[[#This Row],[Tx_PSD_us]]+Calculate[[#This Row],[IL]]</f>
        <v>-136.3405083006578</v>
      </c>
      <c r="I190" s="2">
        <f>Calculate[[#This Row],[Tx_PSD_ds]]+Calculate[[#This Row],[IL]]</f>
        <v>-136.3405083006578</v>
      </c>
      <c r="J190" s="2">
        <f>Masks[[#This Row],[channel_echo]]</f>
        <v>-8.3099151655390493</v>
      </c>
      <c r="K190" s="2">
        <f>Masks[[#This Row],[channel_echo]]</f>
        <v>-8.3099151655390493</v>
      </c>
      <c r="L190" s="2">
        <f>Calculate[[#This Row],[Echo_transfer_us]]+Calculate[[#This Row],[Tx_PSD_ds]]</f>
        <v>-111.72500062873131</v>
      </c>
      <c r="M190" s="2">
        <f>Calculate[[#This Row],[Echo_transfer_ds]]+Calculate[[#This Row],[Tx_PSD_us]]</f>
        <v>-111.72500062873131</v>
      </c>
      <c r="N190" s="2">
        <f t="shared" si="25"/>
        <v>-140</v>
      </c>
      <c r="O190" s="2">
        <f t="shared" si="26"/>
        <v>-140</v>
      </c>
      <c r="P190" s="2">
        <f t="shared" si="27"/>
        <v>6</v>
      </c>
      <c r="Q190" s="2">
        <f t="shared" si="28"/>
        <v>6</v>
      </c>
      <c r="R190" s="2">
        <f>10*LOG10((10^(Calculate[[#This Row],[Rx_echo_us]]/10))-(10^((Masks[[#This Row],[connector_echo]]+Calculate[[#This Row],[Tx_PSD_ds]])/10))*EC_conector_ratio_us)-Calculate[[#This Row],[EC_cancelation_us]]</f>
        <v>-151.05589920981706</v>
      </c>
      <c r="S190" s="2">
        <f>10*LOG10((10^(Calculate[[#This Row],[Rx_echo_ds]]/10))-(10^((Masks[[#This Row],[connector_echo]]+Calculate[[#This Row],[Tx_PSD_us]])/10))*EC_conector_ratio_ds)-Calculate[[#This Row],[EC_cancelation_ds]]</f>
        <v>-151.05589920981706</v>
      </c>
      <c r="T190" s="1">
        <f>(POWER(10,Calculate[[#This Row],[AFE_noise_us]]/10)+POWER(10,Calculate[[#This Row],[Echo_res_us]]/10))</f>
        <v>1.0784169739169282E-14</v>
      </c>
      <c r="U190" s="1">
        <f>(POWER(10,Calculate[[#This Row],[AFE_noise_ds]]/10)+POWER(10,Calculate[[#This Row],[Echo_res_ds]]/10))</f>
        <v>1.0784169739169282E-14</v>
      </c>
      <c r="V190" s="2">
        <f>10*LOG10(Calculate[[#This Row],[Linear_Noise_us]])</f>
        <v>-139.67213285107306</v>
      </c>
      <c r="W190" s="2">
        <f>10*LOG10(Calculate[[#This Row],[Linear_Noise_ds]])</f>
        <v>-139.67213285107306</v>
      </c>
      <c r="X190" s="2">
        <f>Calculate[[#This Row],[Rx_PSD_us]]-Calculate[[#This Row],[Noise_us]]</f>
        <v>3.3316245504152562</v>
      </c>
      <c r="Y190" s="2">
        <f>Calculate[[#This Row],[Rx_PSD_ds]]-Calculate[[#This Row],[Noise_ds]]</f>
        <v>3.3316245504152562</v>
      </c>
      <c r="Z190" s="2">
        <f>POWER(10,Calculate[[#This Row],[SNRdB_us]]/10)</f>
        <v>2.153587169009259</v>
      </c>
      <c r="AA190" s="2">
        <f>POWER(10,Calculate[[#This Row],[SNRdB_ds]]/10)</f>
        <v>2.153587169009259</v>
      </c>
      <c r="AB190" s="2">
        <f>-(0.002*Calculate[[#This Row],[Freq]]/1000000/2.5+0.68*(Calculate[[#This Row],[Freq]]/1000000/2.5)^0.45)</f>
        <v>-33.215274067857727</v>
      </c>
      <c r="AC190" s="2"/>
    </row>
    <row r="191" spans="1:29" x14ac:dyDescent="0.25">
      <c r="A191" s="33">
        <f t="shared" si="29"/>
        <v>8550000000</v>
      </c>
      <c r="B191" s="1">
        <f>Calculate[[#This Row],[Freq]]-A190</f>
        <v>45000000</v>
      </c>
      <c r="C191" s="1">
        <f>Channels!B191*cable_length</f>
        <v>-30.214944173395448</v>
      </c>
      <c r="D191" s="1">
        <f>Channels!C191*PCB_trace_length</f>
        <v>-2.8269311367718108</v>
      </c>
      <c r="E191" s="1">
        <f>Calculate[[#This Row],[IL_Cable]]+Calculate[[#This Row],[IL_PCB]]</f>
        <v>-33.041875310167256</v>
      </c>
      <c r="F191" s="2">
        <f>Masks!A191</f>
        <v>-103.49124775599701</v>
      </c>
      <c r="G191" s="2">
        <f>Masks!B191</f>
        <v>-103.49124775599701</v>
      </c>
      <c r="H191" s="2">
        <f>Calculate[[#This Row],[Tx_PSD_us]]+Calculate[[#This Row],[IL]]</f>
        <v>-136.53312306616425</v>
      </c>
      <c r="I191" s="2">
        <f>Calculate[[#This Row],[Tx_PSD_ds]]+Calculate[[#This Row],[IL]]</f>
        <v>-136.53312306616425</v>
      </c>
      <c r="J191" s="2">
        <f>Masks[[#This Row],[channel_echo]]</f>
        <v>-8.2874601155228138</v>
      </c>
      <c r="K191" s="2">
        <f>Masks[[#This Row],[channel_echo]]</f>
        <v>-8.2874601155228138</v>
      </c>
      <c r="L191" s="2">
        <f>Calculate[[#This Row],[Echo_transfer_us]]+Calculate[[#This Row],[Tx_PSD_ds]]</f>
        <v>-111.77870787151983</v>
      </c>
      <c r="M191" s="2">
        <f>Calculate[[#This Row],[Echo_transfer_ds]]+Calculate[[#This Row],[Tx_PSD_us]]</f>
        <v>-111.77870787151983</v>
      </c>
      <c r="N191" s="2">
        <f t="shared" si="25"/>
        <v>-140</v>
      </c>
      <c r="O191" s="2">
        <f t="shared" si="26"/>
        <v>-140</v>
      </c>
      <c r="P191" s="2">
        <f t="shared" si="27"/>
        <v>6</v>
      </c>
      <c r="Q191" s="2">
        <f t="shared" si="28"/>
        <v>6</v>
      </c>
      <c r="R191" s="2">
        <f>10*LOG10((10^(Calculate[[#This Row],[Rx_echo_us]]/10))-(10^((Masks[[#This Row],[connector_echo]]+Calculate[[#This Row],[Tx_PSD_ds]])/10))*EC_conector_ratio_us)-Calculate[[#This Row],[EC_cancelation_us]]</f>
        <v>-151.13206150263392</v>
      </c>
      <c r="S191" s="2">
        <f>10*LOG10((10^(Calculate[[#This Row],[Rx_echo_ds]]/10))-(10^((Masks[[#This Row],[connector_echo]]+Calculate[[#This Row],[Tx_PSD_us]])/10))*EC_conector_ratio_ds)-Calculate[[#This Row],[EC_cancelation_ds]]</f>
        <v>-151.13206150263392</v>
      </c>
      <c r="T191" s="1">
        <f>(POWER(10,Calculate[[#This Row],[AFE_noise_us]]/10)+POWER(10,Calculate[[#This Row],[Echo_res_us]]/10))</f>
        <v>1.0770537624580174E-14</v>
      </c>
      <c r="U191" s="1">
        <f>(POWER(10,Calculate[[#This Row],[AFE_noise_ds]]/10)+POWER(10,Calculate[[#This Row],[Echo_res_ds]]/10))</f>
        <v>1.0770537624580174E-14</v>
      </c>
      <c r="V191" s="2">
        <f>10*LOG10(Calculate[[#This Row],[Linear_Noise_us]])</f>
        <v>-139.67762617819847</v>
      </c>
      <c r="W191" s="2">
        <f>10*LOG10(Calculate[[#This Row],[Linear_Noise_ds]])</f>
        <v>-139.67762617819847</v>
      </c>
      <c r="X191" s="2">
        <f>Calculate[[#This Row],[Rx_PSD_us]]-Calculate[[#This Row],[Noise_us]]</f>
        <v>3.1445031120342151</v>
      </c>
      <c r="Y191" s="2">
        <f>Calculate[[#This Row],[Rx_PSD_ds]]-Calculate[[#This Row],[Noise_ds]]</f>
        <v>3.1445031120342151</v>
      </c>
      <c r="Z191" s="2">
        <f>POWER(10,Calculate[[#This Row],[SNRdB_us]]/10)</f>
        <v>2.0627676470296703</v>
      </c>
      <c r="AA191" s="2">
        <f>POWER(10,Calculate[[#This Row],[SNRdB_ds]]/10)</f>
        <v>2.0627676470296703</v>
      </c>
      <c r="AB191" s="2">
        <f>-(0.002*Calculate[[#This Row],[Freq]]/1000000/2.5+0.68*(Calculate[[#This Row],[Freq]]/1000000/2.5)^0.45)</f>
        <v>-33.314066805156443</v>
      </c>
      <c r="AC191" s="2"/>
    </row>
    <row r="192" spans="1:29" x14ac:dyDescent="0.25">
      <c r="A192" s="33">
        <f t="shared" si="29"/>
        <v>8595000000</v>
      </c>
      <c r="B192" s="1">
        <f>Calculate[[#This Row],[Freq]]-A191</f>
        <v>45000000</v>
      </c>
      <c r="C192" s="1">
        <f>Channels!B192*cable_length</f>
        <v>-30.317198803380709</v>
      </c>
      <c r="D192" s="1">
        <f>Channels!C192*PCB_trace_length</f>
        <v>-2.840977588628212</v>
      </c>
      <c r="E192" s="1">
        <f>Calculate[[#This Row],[IL_Cable]]+Calculate[[#This Row],[IL_PCB]]</f>
        <v>-33.158176392008919</v>
      </c>
      <c r="F192" s="2">
        <f>Masks!A192</f>
        <v>-103.56815664875407</v>
      </c>
      <c r="G192" s="2">
        <f>Masks!B192</f>
        <v>-103.56815664875407</v>
      </c>
      <c r="H192" s="2">
        <f>Calculate[[#This Row],[Tx_PSD_us]]+Calculate[[#This Row],[IL]]</f>
        <v>-136.726333040763</v>
      </c>
      <c r="I192" s="2">
        <f>Calculate[[#This Row],[Tx_PSD_ds]]+Calculate[[#This Row],[IL]]</f>
        <v>-136.726333040763</v>
      </c>
      <c r="J192" s="2">
        <f>Masks[[#This Row],[channel_echo]]</f>
        <v>-8.2651205716224379</v>
      </c>
      <c r="K192" s="2">
        <f>Masks[[#This Row],[channel_echo]]</f>
        <v>-8.2651205716224379</v>
      </c>
      <c r="L192" s="2">
        <f>Calculate[[#This Row],[Echo_transfer_us]]+Calculate[[#This Row],[Tx_PSD_ds]]</f>
        <v>-111.8332772203765</v>
      </c>
      <c r="M192" s="2">
        <f>Calculate[[#This Row],[Echo_transfer_ds]]+Calculate[[#This Row],[Tx_PSD_us]]</f>
        <v>-111.8332772203765</v>
      </c>
      <c r="N192" s="2">
        <f t="shared" si="25"/>
        <v>-140</v>
      </c>
      <c r="O192" s="2">
        <f t="shared" si="26"/>
        <v>-140</v>
      </c>
      <c r="P192" s="2">
        <f t="shared" si="27"/>
        <v>6</v>
      </c>
      <c r="Q192" s="2">
        <f t="shared" si="28"/>
        <v>6</v>
      </c>
      <c r="R192" s="2">
        <f>10*LOG10((10^(Calculate[[#This Row],[Rx_echo_us]]/10))-(10^((Masks[[#This Row],[connector_echo]]+Calculate[[#This Row],[Tx_PSD_ds]])/10))*EC_conector_ratio_us)-Calculate[[#This Row],[EC_cancelation_us]]</f>
        <v>-151.20897039539238</v>
      </c>
      <c r="S192" s="2">
        <f>10*LOG10((10^(Calculate[[#This Row],[Rx_echo_ds]]/10))-(10^((Masks[[#This Row],[connector_echo]]+Calculate[[#This Row],[Tx_PSD_us]])/10))*EC_conector_ratio_ds)-Calculate[[#This Row],[EC_cancelation_ds]]</f>
        <v>-151.20897039539238</v>
      </c>
      <c r="T192" s="1">
        <f>(POWER(10,Calculate[[#This Row],[AFE_noise_us]]/10)+POWER(10,Calculate[[#This Row],[Echo_res_us]]/10))</f>
        <v>1.0757012342618114E-14</v>
      </c>
      <c r="U192" s="1">
        <f>(POWER(10,Calculate[[#This Row],[AFE_noise_ds]]/10)+POWER(10,Calculate[[#This Row],[Echo_res_ds]]/10))</f>
        <v>1.0757012342618114E-14</v>
      </c>
      <c r="V192" s="2">
        <f>10*LOG10(Calculate[[#This Row],[Linear_Noise_us]])</f>
        <v>-139.68308333064184</v>
      </c>
      <c r="W192" s="2">
        <f>10*LOG10(Calculate[[#This Row],[Linear_Noise_ds]])</f>
        <v>-139.68308333064184</v>
      </c>
      <c r="X192" s="2">
        <f>Calculate[[#This Row],[Rx_PSD_us]]-Calculate[[#This Row],[Noise_us]]</f>
        <v>2.9567502898788405</v>
      </c>
      <c r="Y192" s="2">
        <f>Calculate[[#This Row],[Rx_PSD_ds]]-Calculate[[#This Row],[Noise_ds]]</f>
        <v>2.9567502898788405</v>
      </c>
      <c r="Z192" s="2">
        <f>POWER(10,Calculate[[#This Row],[SNRdB_us]]/10)</f>
        <v>1.9754908796290098</v>
      </c>
      <c r="AA192" s="2">
        <f>POWER(10,Calculate[[#This Row],[SNRdB_ds]]/10)</f>
        <v>1.9754908796290098</v>
      </c>
      <c r="AB192" s="2">
        <f>-(0.002*Calculate[[#This Row],[Freq]]/1000000/2.5+0.68*(Calculate[[#This Row],[Freq]]/1000000/2.5)^0.45)</f>
        <v>-33.412678035770455</v>
      </c>
      <c r="AC192" s="2"/>
    </row>
    <row r="193" spans="1:29" x14ac:dyDescent="0.25">
      <c r="A193" s="33">
        <f t="shared" si="29"/>
        <v>8640000000</v>
      </c>
      <c r="B193" s="1">
        <f>Calculate[[#This Row],[Freq]]-A192</f>
        <v>45000000</v>
      </c>
      <c r="C193" s="1">
        <f>Channels!B193*cable_length</f>
        <v>-30.419305399715306</v>
      </c>
      <c r="D193" s="1">
        <f>Channels!C193*PCB_trace_length</f>
        <v>-2.8550218706647006</v>
      </c>
      <c r="E193" s="1">
        <f>Calculate[[#This Row],[IL_Cable]]+Calculate[[#This Row],[IL_PCB]]</f>
        <v>-33.274327270380006</v>
      </c>
      <c r="F193" s="2">
        <f>Masks!A193</f>
        <v>-103.6458217985015</v>
      </c>
      <c r="G193" s="2">
        <f>Masks!B193</f>
        <v>-103.6458217985015</v>
      </c>
      <c r="H193" s="2">
        <f>Calculate[[#This Row],[Tx_PSD_us]]+Calculate[[#This Row],[IL]]</f>
        <v>-136.9201490688815</v>
      </c>
      <c r="I193" s="2">
        <f>Calculate[[#This Row],[Tx_PSD_ds]]+Calculate[[#This Row],[IL]]</f>
        <v>-136.9201490688815</v>
      </c>
      <c r="J193" s="2">
        <f>Masks[[#This Row],[channel_echo]]</f>
        <v>-8.2428953516169887</v>
      </c>
      <c r="K193" s="2">
        <f>Masks[[#This Row],[channel_echo]]</f>
        <v>-8.2428953516169887</v>
      </c>
      <c r="L193" s="2">
        <f>Calculate[[#This Row],[Echo_transfer_us]]+Calculate[[#This Row],[Tx_PSD_ds]]</f>
        <v>-111.8887171501185</v>
      </c>
      <c r="M193" s="2">
        <f>Calculate[[#This Row],[Echo_transfer_ds]]+Calculate[[#This Row],[Tx_PSD_us]]</f>
        <v>-111.8887171501185</v>
      </c>
      <c r="N193" s="2">
        <f t="shared" si="25"/>
        <v>-140</v>
      </c>
      <c r="O193" s="2">
        <f t="shared" si="26"/>
        <v>-140</v>
      </c>
      <c r="P193" s="2">
        <f t="shared" si="27"/>
        <v>6</v>
      </c>
      <c r="Q193" s="2">
        <f t="shared" si="28"/>
        <v>6</v>
      </c>
      <c r="R193" s="2">
        <f>10*LOG10((10^(Calculate[[#This Row],[Rx_echo_us]]/10))-(10^((Masks[[#This Row],[connector_echo]]+Calculate[[#This Row],[Tx_PSD_ds]])/10))*EC_conector_ratio_us)-Calculate[[#This Row],[EC_cancelation_us]]</f>
        <v>-151.28663554518926</v>
      </c>
      <c r="S193" s="2">
        <f>10*LOG10((10^(Calculate[[#This Row],[Rx_echo_ds]]/10))-(10^((Masks[[#This Row],[connector_echo]]+Calculate[[#This Row],[Tx_PSD_us]])/10))*EC_conector_ratio_ds)-Calculate[[#This Row],[EC_cancelation_ds]]</f>
        <v>-151.28663554518926</v>
      </c>
      <c r="T193" s="1">
        <f>(POWER(10,Calculate[[#This Row],[AFE_noise_us]]/10)+POWER(10,Calculate[[#This Row],[Echo_res_us]]/10))</f>
        <v>1.0743594973643821E-14</v>
      </c>
      <c r="U193" s="1">
        <f>(POWER(10,Calculate[[#This Row],[AFE_noise_ds]]/10)+POWER(10,Calculate[[#This Row],[Echo_res_ds]]/10))</f>
        <v>1.0743594973643821E-14</v>
      </c>
      <c r="V193" s="2">
        <f>10*LOG10(Calculate[[#This Row],[Linear_Noise_us]])</f>
        <v>-139.68850372642686</v>
      </c>
      <c r="W193" s="2">
        <f>10*LOG10(Calculate[[#This Row],[Linear_Noise_ds]])</f>
        <v>-139.68850372642686</v>
      </c>
      <c r="X193" s="2">
        <f>Calculate[[#This Row],[Rx_PSD_us]]-Calculate[[#This Row],[Noise_us]]</f>
        <v>2.768354657545359</v>
      </c>
      <c r="Y193" s="2">
        <f>Calculate[[#This Row],[Rx_PSD_ds]]-Calculate[[#This Row],[Noise_ds]]</f>
        <v>2.768354657545359</v>
      </c>
      <c r="Z193" s="2">
        <f>POWER(10,Calculate[[#This Row],[SNRdB_us]]/10)</f>
        <v>1.8916268322920518</v>
      </c>
      <c r="AA193" s="2">
        <f>POWER(10,Calculate[[#This Row],[SNRdB_ds]]/10)</f>
        <v>1.8916268322920518</v>
      </c>
      <c r="AB193" s="2">
        <f>-(0.002*Calculate[[#This Row],[Freq]]/1000000/2.5+0.68*(Calculate[[#This Row],[Freq]]/1000000/2.5)^0.45)</f>
        <v>-33.51110923055446</v>
      </c>
      <c r="AC193" s="2"/>
    </row>
    <row r="194" spans="1:29" x14ac:dyDescent="0.25">
      <c r="A194" s="33">
        <f t="shared" si="29"/>
        <v>8685000000</v>
      </c>
      <c r="B194" s="1">
        <f>Calculate[[#This Row],[Freq]]-A193</f>
        <v>45000000</v>
      </c>
      <c r="C194" s="1">
        <f>Channels!B194*cable_length</f>
        <v>-30.521265117418015</v>
      </c>
      <c r="D194" s="1">
        <f>Channels!C194*PCB_trace_length</f>
        <v>-2.8690639998110945</v>
      </c>
      <c r="E194" s="1">
        <f>Calculate[[#This Row],[IL_Cable]]+Calculate[[#This Row],[IL_PCB]]</f>
        <v>-33.390329117229108</v>
      </c>
      <c r="F194" s="2">
        <f>Masks!A194</f>
        <v>-103.72425310417017</v>
      </c>
      <c r="G194" s="2">
        <f>Masks!B194</f>
        <v>-103.72425310417017</v>
      </c>
      <c r="H194" s="2">
        <f>Calculate[[#This Row],[Tx_PSD_us]]+Calculate[[#This Row],[IL]]</f>
        <v>-137.11458222139927</v>
      </c>
      <c r="I194" s="2">
        <f>Calculate[[#This Row],[Tx_PSD_ds]]+Calculate[[#This Row],[IL]]</f>
        <v>-137.11458222139927</v>
      </c>
      <c r="J194" s="2">
        <f>Masks[[#This Row],[channel_echo]]</f>
        <v>-8.2207832913434551</v>
      </c>
      <c r="K194" s="2">
        <f>Masks[[#This Row],[channel_echo]]</f>
        <v>-8.2207832913434551</v>
      </c>
      <c r="L194" s="2">
        <f>Calculate[[#This Row],[Echo_transfer_us]]+Calculate[[#This Row],[Tx_PSD_ds]]</f>
        <v>-111.94503639551363</v>
      </c>
      <c r="M194" s="2">
        <f>Calculate[[#This Row],[Echo_transfer_ds]]+Calculate[[#This Row],[Tx_PSD_us]]</f>
        <v>-111.94503639551363</v>
      </c>
      <c r="N194" s="2">
        <f t="shared" ref="N194:N201" si="30">AFE_noise_us</f>
        <v>-140</v>
      </c>
      <c r="O194" s="2">
        <f t="shared" ref="O194:O201" si="31">AFE_noise_ds</f>
        <v>-140</v>
      </c>
      <c r="P194" s="2">
        <f t="shared" ref="P194:P201" si="32">EC_cancel_us</f>
        <v>6</v>
      </c>
      <c r="Q194" s="2">
        <f t="shared" ref="Q194:Q201" si="33">EC_cancel_ds</f>
        <v>6</v>
      </c>
      <c r="R194" s="2">
        <f>10*LOG10((10^(Calculate[[#This Row],[Rx_echo_us]]/10))-(10^((Masks[[#This Row],[connector_echo]]+Calculate[[#This Row],[Tx_PSD_ds]])/10))*EC_conector_ratio_us)-Calculate[[#This Row],[EC_cancelation_us]]</f>
        <v>-151.36506685079621</v>
      </c>
      <c r="S194" s="2">
        <f>10*LOG10((10^(Calculate[[#This Row],[Rx_echo_ds]]/10))-(10^((Masks[[#This Row],[connector_echo]]+Calculate[[#This Row],[Tx_PSD_us]])/10))*EC_conector_ratio_ds)-Calculate[[#This Row],[EC_cancelation_ds]]</f>
        <v>-151.36506685079621</v>
      </c>
      <c r="T194" s="1">
        <f>(POWER(10,Calculate[[#This Row],[AFE_noise_us]]/10)+POWER(10,Calculate[[#This Row],[Echo_res_us]]/10))</f>
        <v>1.0730286571511441E-14</v>
      </c>
      <c r="U194" s="1">
        <f>(POWER(10,Calculate[[#This Row],[AFE_noise_ds]]/10)+POWER(10,Calculate[[#This Row],[Echo_res_ds]]/10))</f>
        <v>1.0730286571511441E-14</v>
      </c>
      <c r="V194" s="2">
        <f>10*LOG10(Calculate[[#This Row],[Linear_Noise_us]])</f>
        <v>-139.69388679267584</v>
      </c>
      <c r="W194" s="2">
        <f>10*LOG10(Calculate[[#This Row],[Linear_Noise_ds]])</f>
        <v>-139.69388679267584</v>
      </c>
      <c r="X194" s="2">
        <f>Calculate[[#This Row],[Rx_PSD_us]]-Calculate[[#This Row],[Noise_us]]</f>
        <v>2.5793045712765661</v>
      </c>
      <c r="Y194" s="2">
        <f>Calculate[[#This Row],[Rx_PSD_ds]]-Calculate[[#This Row],[Noise_ds]]</f>
        <v>2.5793045712765661</v>
      </c>
      <c r="Z194" s="2">
        <f>POWER(10,Calculate[[#This Row],[SNRdB_us]]/10)</f>
        <v>1.8110500688839368</v>
      </c>
      <c r="AA194" s="2">
        <f>POWER(10,Calculate[[#This Row],[SNRdB_ds]]/10)</f>
        <v>1.8110500688839368</v>
      </c>
      <c r="AB194" s="2">
        <f>-(0.002*Calculate[[#This Row],[Freq]]/1000000/2.5+0.68*(Calculate[[#This Row],[Freq]]/1000000/2.5)^0.45)</f>
        <v>-33.609361840856167</v>
      </c>
      <c r="AC194" s="2"/>
    </row>
    <row r="195" spans="1:29" x14ac:dyDescent="0.25">
      <c r="A195" s="33">
        <f t="shared" ref="A195:A201" si="34">f_step+A194</f>
        <v>8730000000</v>
      </c>
      <c r="B195" s="1">
        <f>Calculate[[#This Row],[Freq]]-A194</f>
        <v>45000000</v>
      </c>
      <c r="C195" s="1">
        <f>Channels!B195*cable_length</f>
        <v>-30.623079096565419</v>
      </c>
      <c r="D195" s="1">
        <f>Channels!C195*PCB_trace_length</f>
        <v>-2.8831039927781941</v>
      </c>
      <c r="E195" s="1">
        <f>Calculate[[#This Row],[IL_Cable]]+Calculate[[#This Row],[IL_PCB]]</f>
        <v>-33.506183089343615</v>
      </c>
      <c r="F195" s="2">
        <f>Masks!A195</f>
        <v>-103.80346071463197</v>
      </c>
      <c r="G195" s="2">
        <f>Masks!B195</f>
        <v>-103.80346071463197</v>
      </c>
      <c r="H195" s="2">
        <f>Calculate[[#This Row],[Tx_PSD_us]]+Calculate[[#This Row],[IL]]</f>
        <v>-137.30964380397558</v>
      </c>
      <c r="I195" s="2">
        <f>Calculate[[#This Row],[Tx_PSD_ds]]+Calculate[[#This Row],[IL]]</f>
        <v>-137.30964380397558</v>
      </c>
      <c r="J195" s="2">
        <f>Masks[[#This Row],[channel_echo]]</f>
        <v>-8.1987832443308335</v>
      </c>
      <c r="K195" s="2">
        <f>Masks[[#This Row],[channel_echo]]</f>
        <v>-8.1987832443308335</v>
      </c>
      <c r="L195" s="2">
        <f>Calculate[[#This Row],[Echo_transfer_us]]+Calculate[[#This Row],[Tx_PSD_ds]]</f>
        <v>-112.00224395896279</v>
      </c>
      <c r="M195" s="2">
        <f>Calculate[[#This Row],[Echo_transfer_ds]]+Calculate[[#This Row],[Tx_PSD_us]]</f>
        <v>-112.00224395896279</v>
      </c>
      <c r="N195" s="2">
        <f t="shared" si="30"/>
        <v>-140</v>
      </c>
      <c r="O195" s="2">
        <f t="shared" si="31"/>
        <v>-140</v>
      </c>
      <c r="P195" s="2">
        <f t="shared" si="32"/>
        <v>6</v>
      </c>
      <c r="Q195" s="2">
        <f t="shared" si="33"/>
        <v>6</v>
      </c>
      <c r="R195" s="2">
        <f>10*LOG10((10^(Calculate[[#This Row],[Rx_echo_us]]/10))-(10^((Masks[[#This Row],[connector_echo]]+Calculate[[#This Row],[Tx_PSD_ds]])/10))*EC_conector_ratio_us)-Calculate[[#This Row],[EC_cancelation_us]]</f>
        <v>-151.44427446129771</v>
      </c>
      <c r="S195" s="2">
        <f>10*LOG10((10^(Calculate[[#This Row],[Rx_echo_ds]]/10))-(10^((Masks[[#This Row],[connector_echo]]+Calculate[[#This Row],[Tx_PSD_us]])/10))*EC_conector_ratio_ds)-Calculate[[#This Row],[EC_cancelation_ds]]</f>
        <v>-151.44427446129771</v>
      </c>
      <c r="T195" s="1">
        <f>(POWER(10,Calculate[[#This Row],[AFE_noise_us]]/10)+POWER(10,Calculate[[#This Row],[Echo_res_us]]/10))</f>
        <v>1.071708816336972E-14</v>
      </c>
      <c r="U195" s="1">
        <f>(POWER(10,Calculate[[#This Row],[AFE_noise_ds]]/10)+POWER(10,Calculate[[#This Row],[Echo_res_ds]]/10))</f>
        <v>1.071708816336972E-14</v>
      </c>
      <c r="V195" s="2">
        <f>10*LOG10(Calculate[[#This Row],[Linear_Noise_us]])</f>
        <v>-139.6992319657987</v>
      </c>
      <c r="W195" s="2">
        <f>10*LOG10(Calculate[[#This Row],[Linear_Noise_ds]])</f>
        <v>-139.6992319657987</v>
      </c>
      <c r="X195" s="2">
        <f>Calculate[[#This Row],[Rx_PSD_us]]-Calculate[[#This Row],[Noise_us]]</f>
        <v>2.3895881618231272</v>
      </c>
      <c r="Y195" s="2">
        <f>Calculate[[#This Row],[Rx_PSD_ds]]-Calculate[[#This Row],[Noise_ds]]</f>
        <v>2.3895881618231272</v>
      </c>
      <c r="Z195" s="2">
        <f>POWER(10,Calculate[[#This Row],[SNRdB_us]]/10)</f>
        <v>1.7336395902260531</v>
      </c>
      <c r="AA195" s="2">
        <f>POWER(10,Calculate[[#This Row],[SNRdB_ds]]/10)</f>
        <v>1.7336395902260531</v>
      </c>
      <c r="AB195" s="2">
        <f>-(0.002*Calculate[[#This Row],[Freq]]/1000000/2.5+0.68*(Calculate[[#This Row],[Freq]]/1000000/2.5)^0.45)</f>
        <v>-33.707437298874432</v>
      </c>
      <c r="AC195" s="2"/>
    </row>
    <row r="196" spans="1:29" x14ac:dyDescent="0.25">
      <c r="A196" s="33">
        <f t="shared" si="34"/>
        <v>8775000000</v>
      </c>
      <c r="B196" s="1">
        <f>Calculate[[#This Row],[Freq]]-A195</f>
        <v>45000000</v>
      </c>
      <c r="C196" s="1">
        <f>Channels!B196*cable_length</f>
        <v>-30.72474846256112</v>
      </c>
      <c r="D196" s="1">
        <f>Channels!C196*PCB_trace_length</f>
        <v>-2.8971418660617307</v>
      </c>
      <c r="E196" s="1">
        <f>Calculate[[#This Row],[IL_Cable]]+Calculate[[#This Row],[IL_PCB]]</f>
        <v>-33.621890328622854</v>
      </c>
      <c r="F196" s="2">
        <f>Masks!A196</f>
        <v>-103.88345503708872</v>
      </c>
      <c r="G196" s="2">
        <f>Masks!B196</f>
        <v>-103.88345503708872</v>
      </c>
      <c r="H196" s="2">
        <f>Calculate[[#This Row],[Tx_PSD_us]]+Calculate[[#This Row],[IL]]</f>
        <v>-137.50534536571158</v>
      </c>
      <c r="I196" s="2">
        <f>Calculate[[#This Row],[Tx_PSD_ds]]+Calculate[[#This Row],[IL]]</f>
        <v>-137.50534536571158</v>
      </c>
      <c r="J196" s="2">
        <f>Masks[[#This Row],[channel_echo]]</f>
        <v>-8.1768940814434448</v>
      </c>
      <c r="K196" s="2">
        <f>Masks[[#This Row],[channel_echo]]</f>
        <v>-8.1768940814434448</v>
      </c>
      <c r="L196" s="2">
        <f>Calculate[[#This Row],[Echo_transfer_us]]+Calculate[[#This Row],[Tx_PSD_ds]]</f>
        <v>-112.06034911853217</v>
      </c>
      <c r="M196" s="2">
        <f>Calculate[[#This Row],[Echo_transfer_ds]]+Calculate[[#This Row],[Tx_PSD_us]]</f>
        <v>-112.06034911853217</v>
      </c>
      <c r="N196" s="2">
        <f t="shared" si="30"/>
        <v>-140</v>
      </c>
      <c r="O196" s="2">
        <f t="shared" si="31"/>
        <v>-140</v>
      </c>
      <c r="P196" s="2">
        <f t="shared" si="32"/>
        <v>6</v>
      </c>
      <c r="Q196" s="2">
        <f t="shared" si="33"/>
        <v>6</v>
      </c>
      <c r="R196" s="2">
        <f>10*LOG10((10^(Calculate[[#This Row],[Rx_echo_us]]/10))-(10^((Masks[[#This Row],[connector_echo]]+Calculate[[#This Row],[Tx_PSD_ds]])/10))*EC_conector_ratio_us)-Calculate[[#This Row],[EC_cancelation_us]]</f>
        <v>-151.52426878374061</v>
      </c>
      <c r="S196" s="2">
        <f>10*LOG10((10^(Calculate[[#This Row],[Rx_echo_ds]]/10))-(10^((Masks[[#This Row],[connector_echo]]+Calculate[[#This Row],[Tx_PSD_us]])/10))*EC_conector_ratio_ds)-Calculate[[#This Row],[EC_cancelation_ds]]</f>
        <v>-151.52426878374061</v>
      </c>
      <c r="T196" s="1">
        <f>(POWER(10,Calculate[[#This Row],[AFE_noise_us]]/10)+POWER(10,Calculate[[#This Row],[Echo_res_us]]/10))</f>
        <v>1.0704000749695885E-14</v>
      </c>
      <c r="U196" s="1">
        <f>(POWER(10,Calculate[[#This Row],[AFE_noise_ds]]/10)+POWER(10,Calculate[[#This Row],[Echo_res_ds]]/10))</f>
        <v>1.0704000749695885E-14</v>
      </c>
      <c r="V196" s="2">
        <f>10*LOG10(Calculate[[#This Row],[Linear_Noise_us]])</f>
        <v>-139.70453869158766</v>
      </c>
      <c r="W196" s="2">
        <f>10*LOG10(Calculate[[#This Row],[Linear_Noise_ds]])</f>
        <v>-139.70453869158766</v>
      </c>
      <c r="X196" s="2">
        <f>Calculate[[#This Row],[Rx_PSD_us]]-Calculate[[#This Row],[Noise_us]]</f>
        <v>2.199193325876081</v>
      </c>
      <c r="Y196" s="2">
        <f>Calculate[[#This Row],[Rx_PSD_ds]]-Calculate[[#This Row],[Noise_ds]]</f>
        <v>2.199193325876081</v>
      </c>
      <c r="Z196" s="2">
        <f>POWER(10,Calculate[[#This Row],[SNRdB_us]]/10)</f>
        <v>1.6592786784486186</v>
      </c>
      <c r="AA196" s="2">
        <f>POWER(10,Calculate[[#This Row],[SNRdB_ds]]/10)</f>
        <v>1.6592786784486186</v>
      </c>
      <c r="AB196" s="2">
        <f>-(0.002*Calculate[[#This Row],[Freq]]/1000000/2.5+0.68*(Calculate[[#This Row],[Freq]]/1000000/2.5)^0.45)</f>
        <v>-33.805337018009297</v>
      </c>
      <c r="AC196" s="2"/>
    </row>
    <row r="197" spans="1:29" x14ac:dyDescent="0.25">
      <c r="A197" s="33">
        <f t="shared" si="34"/>
        <v>8820000000</v>
      </c>
      <c r="B197" s="1">
        <f>Calculate[[#This Row],[Freq]]-A196</f>
        <v>45000000</v>
      </c>
      <c r="C197" s="1">
        <f>Channels!B197*cable_length</f>
        <v>-30.826274326398789</v>
      </c>
      <c r="D197" s="1">
        <f>Channels!C197*PCB_trace_length</f>
        <v>-2.9111776359462183</v>
      </c>
      <c r="E197" s="1">
        <f>Calculate[[#This Row],[IL_Cable]]+Calculate[[#This Row],[IL_PCB]]</f>
        <v>-33.737451962345006</v>
      </c>
      <c r="F197" s="2">
        <f>Masks!A197</f>
        <v>-103.96424674581981</v>
      </c>
      <c r="G197" s="2">
        <f>Masks!B197</f>
        <v>-103.96424674581981</v>
      </c>
      <c r="H197" s="2">
        <f>Calculate[[#This Row],[Tx_PSD_us]]+Calculate[[#This Row],[IL]]</f>
        <v>-137.70169870816483</v>
      </c>
      <c r="I197" s="2">
        <f>Calculate[[#This Row],[Tx_PSD_ds]]+Calculate[[#This Row],[IL]]</f>
        <v>-137.70169870816483</v>
      </c>
      <c r="J197" s="2">
        <f>Masks[[#This Row],[channel_echo]]</f>
        <v>-8.1551146905331908</v>
      </c>
      <c r="K197" s="2">
        <f>Masks[[#This Row],[channel_echo]]</f>
        <v>-8.1551146905331908</v>
      </c>
      <c r="L197" s="2">
        <f>Calculate[[#This Row],[Echo_transfer_us]]+Calculate[[#This Row],[Tx_PSD_ds]]</f>
        <v>-112.119361436353</v>
      </c>
      <c r="M197" s="2">
        <f>Calculate[[#This Row],[Echo_transfer_ds]]+Calculate[[#This Row],[Tx_PSD_us]]</f>
        <v>-112.119361436353</v>
      </c>
      <c r="N197" s="2">
        <f t="shared" si="30"/>
        <v>-140</v>
      </c>
      <c r="O197" s="2">
        <f t="shared" si="31"/>
        <v>-140</v>
      </c>
      <c r="P197" s="2">
        <f t="shared" si="32"/>
        <v>6</v>
      </c>
      <c r="Q197" s="2">
        <f t="shared" si="33"/>
        <v>6</v>
      </c>
      <c r="R197" s="2">
        <f>10*LOG10((10^(Calculate[[#This Row],[Rx_echo_us]]/10))-(10^((Masks[[#This Row],[connector_echo]]+Calculate[[#This Row],[Tx_PSD_ds]])/10))*EC_conector_ratio_us)-Calculate[[#This Row],[EC_cancelation_us]]</f>
        <v>-151.60506049252359</v>
      </c>
      <c r="S197" s="2">
        <f>10*LOG10((10^(Calculate[[#This Row],[Rx_echo_ds]]/10))-(10^((Masks[[#This Row],[connector_echo]]+Calculate[[#This Row],[Tx_PSD_us]])/10))*EC_conector_ratio_ds)-Calculate[[#This Row],[EC_cancelation_ds]]</f>
        <v>-151.60506049252359</v>
      </c>
      <c r="T197" s="1">
        <f>(POWER(10,Calculate[[#This Row],[AFE_noise_us]]/10)+POWER(10,Calculate[[#This Row],[Echo_res_us]]/10))</f>
        <v>1.0691025304102895E-14</v>
      </c>
      <c r="U197" s="1">
        <f>(POWER(10,Calculate[[#This Row],[AFE_noise_ds]]/10)+POWER(10,Calculate[[#This Row],[Echo_res_ds]]/10))</f>
        <v>1.0691025304102895E-14</v>
      </c>
      <c r="V197" s="2">
        <f>10*LOG10(Calculate[[#This Row],[Linear_Noise_us]])</f>
        <v>-139.70980642540388</v>
      </c>
      <c r="W197" s="2">
        <f>10*LOG10(Calculate[[#This Row],[Linear_Noise_ds]])</f>
        <v>-139.70980642540388</v>
      </c>
      <c r="X197" s="2">
        <f>Calculate[[#This Row],[Rx_PSD_us]]-Calculate[[#This Row],[Noise_us]]</f>
        <v>2.0081077172390565</v>
      </c>
      <c r="Y197" s="2">
        <f>Calculate[[#This Row],[Rx_PSD_ds]]-Calculate[[#This Row],[Noise_ds]]</f>
        <v>2.0081077172390565</v>
      </c>
      <c r="Z197" s="2">
        <f>POWER(10,Calculate[[#This Row],[SNRdB_us]]/10)</f>
        <v>1.5878547469782234</v>
      </c>
      <c r="AA197" s="2">
        <f>POWER(10,Calculate[[#This Row],[SNRdB_ds]]/10)</f>
        <v>1.5878547469782234</v>
      </c>
      <c r="AB197" s="2">
        <f>-(0.002*Calculate[[#This Row],[Freq]]/1000000/2.5+0.68*(Calculate[[#This Row],[Freq]]/1000000/2.5)^0.45)</f>
        <v>-33.903062393203655</v>
      </c>
      <c r="AC197" s="2"/>
    </row>
    <row r="198" spans="1:29" x14ac:dyDescent="0.25">
      <c r="A198" s="33">
        <f t="shared" si="34"/>
        <v>8865000000</v>
      </c>
      <c r="B198" s="1">
        <f>Calculate[[#This Row],[Freq]]-A197</f>
        <v>45000000</v>
      </c>
      <c r="C198" s="1">
        <f>Channels!B198*cable_length</f>
        <v>-30.92765778491912</v>
      </c>
      <c r="D198" s="1">
        <f>Channels!C198*PCB_trace_length</f>
        <v>-2.9252113185087234</v>
      </c>
      <c r="E198" s="1">
        <f>Calculate[[#This Row],[IL_Cable]]+Calculate[[#This Row],[IL_PCB]]</f>
        <v>-33.852869103427842</v>
      </c>
      <c r="F198" s="2">
        <f>Masks!A198</f>
        <v>-104.04584679130645</v>
      </c>
      <c r="G198" s="2">
        <f>Masks!B198</f>
        <v>-104.04584679130645</v>
      </c>
      <c r="H198" s="2">
        <f>Calculate[[#This Row],[Tx_PSD_us]]+Calculate[[#This Row],[IL]]</f>
        <v>-137.89871589473429</v>
      </c>
      <c r="I198" s="2">
        <f>Calculate[[#This Row],[Tx_PSD_ds]]+Calculate[[#This Row],[IL]]</f>
        <v>-137.89871589473429</v>
      </c>
      <c r="J198" s="2">
        <f>Masks[[#This Row],[channel_echo]]</f>
        <v>-8.1334439761004909</v>
      </c>
      <c r="K198" s="2">
        <f>Masks[[#This Row],[channel_echo]]</f>
        <v>-8.1334439761004909</v>
      </c>
      <c r="L198" s="2">
        <f>Calculate[[#This Row],[Echo_transfer_us]]+Calculate[[#This Row],[Tx_PSD_ds]]</f>
        <v>-112.17929076740694</v>
      </c>
      <c r="M198" s="2">
        <f>Calculate[[#This Row],[Echo_transfer_ds]]+Calculate[[#This Row],[Tx_PSD_us]]</f>
        <v>-112.17929076740694</v>
      </c>
      <c r="N198" s="2">
        <f t="shared" si="30"/>
        <v>-140</v>
      </c>
      <c r="O198" s="2">
        <f t="shared" si="31"/>
        <v>-140</v>
      </c>
      <c r="P198" s="2">
        <f t="shared" si="32"/>
        <v>6</v>
      </c>
      <c r="Q198" s="2">
        <f t="shared" si="33"/>
        <v>6</v>
      </c>
      <c r="R198" s="2">
        <f>10*LOG10((10^(Calculate[[#This Row],[Rx_echo_us]]/10))-(10^((Masks[[#This Row],[connector_echo]]+Calculate[[#This Row],[Tx_PSD_ds]])/10))*EC_conector_ratio_us)-Calculate[[#This Row],[EC_cancelation_us]]</f>
        <v>-151.68666053793959</v>
      </c>
      <c r="S198" s="2">
        <f>10*LOG10((10^(Calculate[[#This Row],[Rx_echo_ds]]/10))-(10^((Masks[[#This Row],[connector_echo]]+Calculate[[#This Row],[Tx_PSD_us]])/10))*EC_conector_ratio_ds)-Calculate[[#This Row],[EC_cancelation_ds]]</f>
        <v>-151.68666053793959</v>
      </c>
      <c r="T198" s="1">
        <f>(POWER(10,Calculate[[#This Row],[AFE_noise_us]]/10)+POWER(10,Calculate[[#This Row],[Echo_res_us]]/10))</f>
        <v>1.0678162773355831E-14</v>
      </c>
      <c r="U198" s="1">
        <f>(POWER(10,Calculate[[#This Row],[AFE_noise_ds]]/10)+POWER(10,Calculate[[#This Row],[Echo_res_ds]]/10))</f>
        <v>1.0678162773355831E-14</v>
      </c>
      <c r="V198" s="2">
        <f>10*LOG10(Calculate[[#This Row],[Linear_Noise_us]])</f>
        <v>-139.7150346322793</v>
      </c>
      <c r="W198" s="2">
        <f>10*LOG10(Calculate[[#This Row],[Linear_Noise_ds]])</f>
        <v>-139.7150346322793</v>
      </c>
      <c r="X198" s="2">
        <f>Calculate[[#This Row],[Rx_PSD_us]]-Calculate[[#This Row],[Noise_us]]</f>
        <v>1.8163187375450036</v>
      </c>
      <c r="Y198" s="2">
        <f>Calculate[[#This Row],[Rx_PSD_ds]]-Calculate[[#This Row],[Noise_ds]]</f>
        <v>1.8163187375450036</v>
      </c>
      <c r="Z198" s="2">
        <f>POWER(10,Calculate[[#This Row],[SNRdB_us]]/10)</f>
        <v>1.5192591958754353</v>
      </c>
      <c r="AA198" s="2">
        <f>POWER(10,Calculate[[#This Row],[SNRdB_ds]]/10)</f>
        <v>1.5192591958754353</v>
      </c>
      <c r="AB198" s="2">
        <f>-(0.002*Calculate[[#This Row],[Freq]]/1000000/2.5+0.68*(Calculate[[#This Row],[Freq]]/1000000/2.5)^0.45)</f>
        <v>-34.000614801277216</v>
      </c>
      <c r="AC198" s="2"/>
    </row>
    <row r="199" spans="1:29" x14ac:dyDescent="0.25">
      <c r="A199" s="33">
        <f t="shared" si="34"/>
        <v>8910000000</v>
      </c>
      <c r="B199" s="1">
        <f>Calculate[[#This Row],[Freq]]-A198</f>
        <v>45000000</v>
      </c>
      <c r="C199" s="1">
        <f>Channels!B199*cable_length</f>
        <v>-31.028899921061043</v>
      </c>
      <c r="D199" s="1">
        <f>Channels!C199*PCB_trace_length</f>
        <v>-2.9392429296225457</v>
      </c>
      <c r="E199" s="1">
        <f>Calculate[[#This Row],[IL_Cable]]+Calculate[[#This Row],[IL_PCB]]</f>
        <v>-33.968142850683591</v>
      </c>
      <c r="F199" s="2">
        <f>Masks!A199</f>
        <v>-104.12826640975285</v>
      </c>
      <c r="G199" s="2">
        <f>Masks!B199</f>
        <v>-104.12826640975285</v>
      </c>
      <c r="H199" s="2">
        <f>Calculate[[#This Row],[Tx_PSD_us]]+Calculate[[#This Row],[IL]]</f>
        <v>-138.09640926043645</v>
      </c>
      <c r="I199" s="2">
        <f>Calculate[[#This Row],[Tx_PSD_ds]]+Calculate[[#This Row],[IL]]</f>
        <v>-138.09640926043645</v>
      </c>
      <c r="J199" s="2">
        <f>Masks[[#This Row],[channel_echo]]</f>
        <v>-8.111880858963632</v>
      </c>
      <c r="K199" s="2">
        <f>Masks[[#This Row],[channel_echo]]</f>
        <v>-8.111880858963632</v>
      </c>
      <c r="L199" s="2">
        <f>Calculate[[#This Row],[Echo_transfer_us]]+Calculate[[#This Row],[Tx_PSD_ds]]</f>
        <v>-112.24014726871648</v>
      </c>
      <c r="M199" s="2">
        <f>Calculate[[#This Row],[Echo_transfer_ds]]+Calculate[[#This Row],[Tx_PSD_us]]</f>
        <v>-112.24014726871648</v>
      </c>
      <c r="N199" s="2">
        <f t="shared" si="30"/>
        <v>-140</v>
      </c>
      <c r="O199" s="2">
        <f t="shared" si="31"/>
        <v>-140</v>
      </c>
      <c r="P199" s="2">
        <f t="shared" si="32"/>
        <v>6</v>
      </c>
      <c r="Q199" s="2">
        <f t="shared" si="33"/>
        <v>6</v>
      </c>
      <c r="R199" s="2">
        <f>10*LOG10((10^(Calculate[[#This Row],[Rx_echo_us]]/10))-(10^((Masks[[#This Row],[connector_echo]]+Calculate[[#This Row],[Tx_PSD_ds]])/10))*EC_conector_ratio_us)-Calculate[[#This Row],[EC_cancelation_us]]</f>
        <v>-151.76908015636073</v>
      </c>
      <c r="S199" s="2">
        <f>10*LOG10((10^(Calculate[[#This Row],[Rx_echo_ds]]/10))-(10^((Masks[[#This Row],[connector_echo]]+Calculate[[#This Row],[Tx_PSD_us]])/10))*EC_conector_ratio_ds)-Calculate[[#This Row],[EC_cancelation_ds]]</f>
        <v>-151.76908015636073</v>
      </c>
      <c r="T199" s="1">
        <f>(POWER(10,Calculate[[#This Row],[AFE_noise_us]]/10)+POWER(10,Calculate[[#This Row],[Echo_res_us]]/10))</f>
        <v>1.066541407719359E-14</v>
      </c>
      <c r="U199" s="1">
        <f>(POWER(10,Calculate[[#This Row],[AFE_noise_ds]]/10)+POWER(10,Calculate[[#This Row],[Echo_res_ds]]/10))</f>
        <v>1.066541407719359E-14</v>
      </c>
      <c r="V199" s="2">
        <f>10*LOG10(Calculate[[#This Row],[Linear_Noise_us]])</f>
        <v>-139.72022278709696</v>
      </c>
      <c r="W199" s="2">
        <f>10*LOG10(Calculate[[#This Row],[Linear_Noise_ds]])</f>
        <v>-139.72022278709696</v>
      </c>
      <c r="X199" s="2">
        <f>Calculate[[#This Row],[Rx_PSD_us]]-Calculate[[#This Row],[Noise_us]]</f>
        <v>1.6238135266605127</v>
      </c>
      <c r="Y199" s="2">
        <f>Calculate[[#This Row],[Rx_PSD_ds]]-Calculate[[#This Row],[Noise_ds]]</f>
        <v>1.6238135266605127</v>
      </c>
      <c r="Z199" s="2">
        <f>POWER(10,Calculate[[#This Row],[SNRdB_us]]/10)</f>
        <v>1.4533872723829038</v>
      </c>
      <c r="AA199" s="2">
        <f>POWER(10,Calculate[[#This Row],[SNRdB_ds]]/10)</f>
        <v>1.4533872723829038</v>
      </c>
      <c r="AB199" s="2">
        <f>-(0.002*Calculate[[#This Row],[Freq]]/1000000/2.5+0.68*(Calculate[[#This Row],[Freq]]/1000000/2.5)^0.45)</f>
        <v>-34.097995601252464</v>
      </c>
      <c r="AC199" s="2"/>
    </row>
    <row r="200" spans="1:29" x14ac:dyDescent="0.25">
      <c r="A200" s="33">
        <f t="shared" si="34"/>
        <v>8955000000</v>
      </c>
      <c r="B200" s="1">
        <f>Calculate[[#This Row],[Freq]]-A199</f>
        <v>45000000</v>
      </c>
      <c r="C200" s="1">
        <f>Channels!B200*cable_length</f>
        <v>-31.130001804107057</v>
      </c>
      <c r="D200" s="1">
        <f>Channels!C200*PCB_trace_length</f>
        <v>-2.953272484960813</v>
      </c>
      <c r="E200" s="1">
        <f>Calculate[[#This Row],[IL_Cable]]+Calculate[[#This Row],[IL_PCB]]</f>
        <v>-34.083274289067873</v>
      </c>
      <c r="F200" s="2">
        <f>Masks!A200</f>
        <v>-104.21151713302466</v>
      </c>
      <c r="G200" s="2">
        <f>Masks!B200</f>
        <v>-104.21151713302466</v>
      </c>
      <c r="H200" s="2">
        <f>Calculate[[#This Row],[Tx_PSD_us]]+Calculate[[#This Row],[IL]]</f>
        <v>-138.29479142209254</v>
      </c>
      <c r="I200" s="2">
        <f>Calculate[[#This Row],[Tx_PSD_ds]]+Calculate[[#This Row],[IL]]</f>
        <v>-138.29479142209254</v>
      </c>
      <c r="J200" s="2">
        <f>Masks[[#This Row],[channel_echo]]</f>
        <v>-8.090424275936293</v>
      </c>
      <c r="K200" s="2">
        <f>Masks[[#This Row],[channel_echo]]</f>
        <v>-8.090424275936293</v>
      </c>
      <c r="L200" s="2">
        <f>Calculate[[#This Row],[Echo_transfer_us]]+Calculate[[#This Row],[Tx_PSD_ds]]</f>
        <v>-112.30194140896094</v>
      </c>
      <c r="M200" s="2">
        <f>Calculate[[#This Row],[Echo_transfer_ds]]+Calculate[[#This Row],[Tx_PSD_us]]</f>
        <v>-112.30194140896094</v>
      </c>
      <c r="N200" s="2">
        <f t="shared" si="30"/>
        <v>-140</v>
      </c>
      <c r="O200" s="2">
        <f t="shared" si="31"/>
        <v>-140</v>
      </c>
      <c r="P200" s="2">
        <f t="shared" si="32"/>
        <v>6</v>
      </c>
      <c r="Q200" s="2">
        <f t="shared" si="33"/>
        <v>6</v>
      </c>
      <c r="R200" s="2">
        <f>10*LOG10((10^(Calculate[[#This Row],[Rx_echo_us]]/10))-(10^((Masks[[#This Row],[connector_echo]]+Calculate[[#This Row],[Tx_PSD_ds]])/10))*EC_conector_ratio_us)-Calculate[[#This Row],[EC_cancelation_us]]</f>
        <v>-151.85233087969215</v>
      </c>
      <c r="S200" s="2">
        <f>10*LOG10((10^(Calculate[[#This Row],[Rx_echo_ds]]/10))-(10^((Masks[[#This Row],[connector_echo]]+Calculate[[#This Row],[Tx_PSD_us]])/10))*EC_conector_ratio_ds)-Calculate[[#This Row],[EC_cancelation_ds]]</f>
        <v>-151.85233087969215</v>
      </c>
      <c r="T200" s="1">
        <f>(POWER(10,Calculate[[#This Row],[AFE_noise_us]]/10)+POWER(10,Calculate[[#This Row],[Echo_res_us]]/10))</f>
        <v>1.065278010834145E-14</v>
      </c>
      <c r="U200" s="1">
        <f>(POWER(10,Calculate[[#This Row],[AFE_noise_ds]]/10)+POWER(10,Calculate[[#This Row],[Echo_res_ds]]/10))</f>
        <v>1.065278010834145E-14</v>
      </c>
      <c r="V200" s="2">
        <f>10*LOG10(Calculate[[#This Row],[Linear_Noise_us]])</f>
        <v>-139.72537037469434</v>
      </c>
      <c r="W200" s="2">
        <f>10*LOG10(Calculate[[#This Row],[Linear_Noise_ds]])</f>
        <v>-139.72537037469434</v>
      </c>
      <c r="X200" s="2">
        <f>Calculate[[#This Row],[Rx_PSD_us]]-Calculate[[#This Row],[Noise_us]]</f>
        <v>1.4305789526017918</v>
      </c>
      <c r="Y200" s="2">
        <f>Calculate[[#This Row],[Rx_PSD_ds]]-Calculate[[#This Row],[Noise_ds]]</f>
        <v>1.4305789526017918</v>
      </c>
      <c r="Z200" s="2">
        <f>POWER(10,Calculate[[#This Row],[SNRdB_us]]/10)</f>
        <v>1.3901379364304398</v>
      </c>
      <c r="AA200" s="2">
        <f>POWER(10,Calculate[[#This Row],[SNRdB_ds]]/10)</f>
        <v>1.3901379364304398</v>
      </c>
      <c r="AB200" s="2">
        <f>-(0.002*Calculate[[#This Row],[Freq]]/1000000/2.5+0.68*(Calculate[[#This Row],[Freq]]/1000000/2.5)^0.45)</f>
        <v>-34.195206134673469</v>
      </c>
      <c r="AC200" s="2"/>
    </row>
    <row r="201" spans="1:29" x14ac:dyDescent="0.25">
      <c r="A201" s="33">
        <f t="shared" si="34"/>
        <v>9000000000</v>
      </c>
      <c r="B201" s="1">
        <f>Calculate[[#This Row],[Freq]]-A200</f>
        <v>45000000</v>
      </c>
      <c r="C201" s="1">
        <f>Channels!B201*cable_length</f>
        <v>-31.230964489923203</v>
      </c>
      <c r="D201" s="1">
        <f>Channels!C201*PCB_trace_length</f>
        <v>-2.9673000000000007</v>
      </c>
      <c r="E201" s="1">
        <f>Calculate[[#This Row],[IL_Cable]]+Calculate[[#This Row],[IL_PCB]]</f>
        <v>-34.198264489923204</v>
      </c>
      <c r="F201" s="2">
        <f>Masks!A201</f>
        <v>-104.29561079902707</v>
      </c>
      <c r="G201" s="2">
        <f>Masks!B201</f>
        <v>-104.29561079902707</v>
      </c>
      <c r="H201" s="2">
        <f>Calculate[[#This Row],[Tx_PSD_us]]+Calculate[[#This Row],[IL]]</f>
        <v>-138.49387528895028</v>
      </c>
      <c r="I201" s="2">
        <f>Calculate[[#This Row],[Tx_PSD_ds]]+Calculate[[#This Row],[IL]]</f>
        <v>-138.49387528895028</v>
      </c>
      <c r="J201" s="2">
        <f>Masks[[#This Row],[channel_echo]]</f>
        <v>-8.0690731795129658</v>
      </c>
      <c r="K201" s="2">
        <f>Masks[[#This Row],[channel_echo]]</f>
        <v>-8.0690731795129658</v>
      </c>
      <c r="L201" s="2">
        <f>Calculate[[#This Row],[Echo_transfer_us]]+Calculate[[#This Row],[Tx_PSD_ds]]</f>
        <v>-112.36468397854004</v>
      </c>
      <c r="M201" s="2">
        <f>Calculate[[#This Row],[Echo_transfer_ds]]+Calculate[[#This Row],[Tx_PSD_us]]</f>
        <v>-112.36468397854004</v>
      </c>
      <c r="N201" s="2">
        <f t="shared" si="30"/>
        <v>-140</v>
      </c>
      <c r="O201" s="2">
        <f t="shared" si="31"/>
        <v>-140</v>
      </c>
      <c r="P201" s="2">
        <f t="shared" si="32"/>
        <v>6</v>
      </c>
      <c r="Q201" s="2">
        <f t="shared" si="33"/>
        <v>6</v>
      </c>
      <c r="R201" s="2">
        <f>10*LOG10((10^(Calculate[[#This Row],[Rx_echo_us]]/10))-(10^((Masks[[#This Row],[connector_echo]]+Calculate[[#This Row],[Tx_PSD_ds]])/10))*EC_conector_ratio_us)-Calculate[[#This Row],[EC_cancelation_us]]</f>
        <v>-151.9364245456961</v>
      </c>
      <c r="S201" s="2">
        <f>10*LOG10((10^(Calculate[[#This Row],[Rx_echo_ds]]/10))-(10^((Masks[[#This Row],[connector_echo]]+Calculate[[#This Row],[Tx_PSD_us]])/10))*EC_conector_ratio_ds)-Calculate[[#This Row],[EC_cancelation_ds]]</f>
        <v>-151.9364245456961</v>
      </c>
      <c r="T201" s="1">
        <f>(POWER(10,Calculate[[#This Row],[AFE_noise_us]]/10)+POWER(10,Calculate[[#This Row],[Echo_res_us]]/10))</f>
        <v>1.0640261732458092E-14</v>
      </c>
      <c r="U201" s="1">
        <f>(POWER(10,Calculate[[#This Row],[AFE_noise_ds]]/10)+POWER(10,Calculate[[#This Row],[Echo_res_ds]]/10))</f>
        <v>1.0640261732458092E-14</v>
      </c>
      <c r="V201" s="2">
        <f>10*LOG10(Calculate[[#This Row],[Linear_Noise_us]])</f>
        <v>-139.73047688999219</v>
      </c>
      <c r="W201" s="2">
        <f>10*LOG10(Calculate[[#This Row],[Linear_Noise_ds]])</f>
        <v>-139.73047688999219</v>
      </c>
      <c r="X201" s="2">
        <f>Calculate[[#This Row],[Rx_PSD_us]]-Calculate[[#This Row],[Noise_us]]</f>
        <v>1.2366016010419116</v>
      </c>
      <c r="Y201" s="2">
        <f>Calculate[[#This Row],[Rx_PSD_ds]]-Calculate[[#This Row],[Noise_ds]]</f>
        <v>1.2366016010419116</v>
      </c>
      <c r="Z201" s="2">
        <f>POWER(10,Calculate[[#This Row],[SNRdB_us]]/10)</f>
        <v>1.3294137309487388</v>
      </c>
      <c r="AA201" s="2">
        <f>POWER(10,Calculate[[#This Row],[SNRdB_ds]]/10)</f>
        <v>1.3294137309487388</v>
      </c>
      <c r="AB201" s="2">
        <f>-(0.002*Calculate[[#This Row],[Freq]]/1000000/2.5+0.68*(Calculate[[#This Row],[Freq]]/1000000/2.5)^0.45)</f>
        <v>-34.292247725917143</v>
      </c>
      <c r="AC201" s="2"/>
    </row>
  </sheetData>
  <sheetProtection algorithmName="SHA-512" hashValue="kW4v0zfPtE26rKzcndLuQy7wYhYacRtJPpW4e37cADO/YfcBOJ3nBgk+9fUoYjYd44mxIjejrum5L+fr+0OWiA==" saltValue="LZw0/p/wB3c0GA76clFnjQ==" spinCount="100000" sheet="1" objects="1" scenarios="1"/>
  <mergeCells count="1">
    <mergeCell ref="AE11:AF1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2AE5-312C-464F-AE72-637C7BB1B783}">
  <dimension ref="A1:AB201"/>
  <sheetViews>
    <sheetView workbookViewId="0">
      <selection activeCell="W25" sqref="W25"/>
    </sheetView>
  </sheetViews>
  <sheetFormatPr defaultRowHeight="15" x14ac:dyDescent="0.25"/>
  <cols>
    <col min="1" max="1" width="12.42578125" style="2" customWidth="1"/>
    <col min="2" max="2" width="15.5703125" style="2" customWidth="1"/>
    <col min="3" max="3" width="2.140625" customWidth="1"/>
    <col min="5" max="5" width="11.140625" style="2" customWidth="1"/>
    <col min="9" max="9" width="11" bestFit="1" customWidth="1"/>
    <col min="17" max="17" width="13.28515625" customWidth="1"/>
    <col min="20" max="22" width="9.140625" style="52"/>
    <col min="23" max="23" width="26" customWidth="1"/>
    <col min="24" max="24" width="10.85546875" customWidth="1"/>
    <col min="26" max="28" width="12.7109375" customWidth="1"/>
  </cols>
  <sheetData>
    <row r="1" spans="1:28" ht="15.75" thickBot="1" x14ac:dyDescent="0.3">
      <c r="A1" s="2" t="str" cm="1">
        <f t="array" ref="A1:A201">INDEX(Masks[#All],,MATCH(CONCATENATE(psd_mask_us,"_us"),Masks[#Headers],0))</f>
        <v>PSD_ZOH_us</v>
      </c>
      <c r="B1" s="2" t="str" cm="1">
        <f t="array" ref="B1:B201">INDEX(Masks[#All],,MATCH(CONCATENATE(psd_mask_ds,"_ds"),Masks[#Headers],0))</f>
        <v>PSD_ZOH_ds</v>
      </c>
      <c r="D1" t="s">
        <v>0</v>
      </c>
      <c r="E1" s="2" t="s">
        <v>5</v>
      </c>
      <c r="F1" t="s">
        <v>6</v>
      </c>
      <c r="G1" t="s">
        <v>11</v>
      </c>
      <c r="H1" t="s">
        <v>12</v>
      </c>
      <c r="I1" t="s">
        <v>28</v>
      </c>
      <c r="J1" t="s">
        <v>32</v>
      </c>
      <c r="K1" t="s">
        <v>126</v>
      </c>
      <c r="L1" t="s">
        <v>127</v>
      </c>
      <c r="M1" t="s">
        <v>142</v>
      </c>
      <c r="N1" t="s">
        <v>143</v>
      </c>
      <c r="O1" t="s">
        <v>30</v>
      </c>
      <c r="P1" t="s">
        <v>31</v>
      </c>
      <c r="Q1" t="s">
        <v>34</v>
      </c>
      <c r="R1" t="s">
        <v>33</v>
      </c>
      <c r="S1" t="s">
        <v>35</v>
      </c>
      <c r="T1" s="53" t="s">
        <v>136</v>
      </c>
      <c r="U1" s="53" t="s">
        <v>137</v>
      </c>
      <c r="W1" t="s">
        <v>90</v>
      </c>
      <c r="X1" cm="1">
        <f t="array" ref="X1">INDEX(ConnectorEcho[C0 Value],MATCH(Config!B30,ConnectorEcho[[Difficulty ]],0),)</f>
        <v>1.6999999999999999E-11</v>
      </c>
      <c r="Z1" s="110" t="s">
        <v>98</v>
      </c>
      <c r="AA1" s="110"/>
      <c r="AB1" s="110"/>
    </row>
    <row r="2" spans="1:28" x14ac:dyDescent="0.25">
      <c r="A2" s="2">
        <v>-97.360471704616899</v>
      </c>
      <c r="B2" s="2">
        <v>-97.360471704616899</v>
      </c>
      <c r="D2" s="1">
        <f>Calculate[[#This Row],[Freq]]</f>
        <v>45000000</v>
      </c>
      <c r="E2" s="2">
        <f>MIN(-90, -89-Masks[[#This Row],[f]]/(600000000*S_ch_us),-82-Masks[[#This Row],[f]]/(250000000*S_ch_us))-K_ch_UPSD_us</f>
        <v>-93.979400086720375</v>
      </c>
      <c r="F2" s="2">
        <f>MIN(-90, -89-Masks[[#This Row],[f]]/(600000000*S_ch_ds),-82-Masks[[#This Row],[f]]/(250000000*S_ch_ds))-K_ch_UPSD_ds</f>
        <v>-93.979400086720375</v>
      </c>
      <c r="G2">
        <f>-MAX(MIN(20,20-10*LOG10(2*Masks[[#This Row],[f]]/480000000)),12-3)</f>
        <v>-20</v>
      </c>
      <c r="H2">
        <f>-MAX(MIN(20,20-10*LOG10(2*Masks[[#This Row],[f]]/480000000)),12-3)</f>
        <v>-20</v>
      </c>
      <c r="I2">
        <f>10*LOG10(POWER(10,Tx_power_us/10)/F_Nyquist_us)+IF(Masks[[#This Row],[f]]&gt;F_Nyquist_us,-50)</f>
        <v>-98.470325397914564</v>
      </c>
      <c r="J2">
        <f>10*LOG10(POWER(10,Tx_power_ds/10)/F_Nyquist_ds)+IF(Masks[[#This Row],[f]]&gt;F_Nyquist_ds,-50)</f>
        <v>-98.470325397914564</v>
      </c>
      <c r="K2" s="1">
        <f>20*LOG10(ABS(SIN(PI()*Masks[[#This Row],[f]]/Config!$B$41/2000000000)/(PI()*Masks[[#This Row],[f]]/Config!$B$41/2000000000)))+Tx_power_us-10*LOG10(F_Nyquist_us)+1.11</f>
        <v>-97.360471704616899</v>
      </c>
      <c r="L2" s="1">
        <f>20*LOG10(ABS(SIN(PI()*Masks[[#This Row],[f]]/Config!$B$41/2000000000)/(PI()*Masks[[#This Row],[f]]/Config!$B$41/2000000000)))+Tx_power_ds-10*LOG10(F_Nyquist_ds)+1.11</f>
        <v>-97.360471704616899</v>
      </c>
      <c r="M2" s="1">
        <f>10*LOG10(1/(1+(Masks[[#This Row],[f]]/Config!$B$41/1000000000)^6))+Tx_power_us-10*LOG10(F_Nyquist_us)+0.45</f>
        <v>-98.02032539791486</v>
      </c>
      <c r="N2" s="1">
        <f>10*LOG10(1/(1+(Masks[[#This Row],[f]]/Config!$C$41/1000000000)^6))+Tx_power_ds-10*LOG10(F_Nyquist_ds)+0.45</f>
        <v>-98.02032539791486</v>
      </c>
      <c r="O2" s="3">
        <f>IF(Masks[[#This Row],[f]]&gt;F_Nyquist_us,0,1)</f>
        <v>1</v>
      </c>
      <c r="P2" s="3">
        <f>IF(Masks[[#This Row],[f]]&gt;F_Nyquist_ds,0,1)</f>
        <v>1</v>
      </c>
      <c r="Q2" s="2">
        <f>Config!B$40</f>
        <v>-41.640813746660612</v>
      </c>
      <c r="R2" s="3">
        <f>IF(Config!B$8&gt;0,10*LOG10($X$1*Masks[[#This Row],[f]]+Config!B$8*0.00073),-1000)</f>
        <v>-24.335625078049297</v>
      </c>
      <c r="S2" s="3">
        <f>10*LOG10((10^(Masks[[#This Row],[wire_echo]]/10))+(10^(Masks[[#This Row],[connector_echo]]/10)))</f>
        <v>-24.255594168255566</v>
      </c>
      <c r="T2" s="54"/>
      <c r="U2" s="54"/>
      <c r="Z2" s="38"/>
      <c r="AA2" s="39" t="str">
        <f>Config!B2</f>
        <v>Upstream</v>
      </c>
      <c r="AB2" s="40" t="str">
        <f>Config!C2</f>
        <v>Downstream</v>
      </c>
    </row>
    <row r="3" spans="1:28" x14ac:dyDescent="0.25">
      <c r="A3" s="2">
        <v>-97.360910630638642</v>
      </c>
      <c r="B3" s="2">
        <v>-97.360910630638642</v>
      </c>
      <c r="D3">
        <f>Calculate[[#This Row],[Freq]]</f>
        <v>90000000</v>
      </c>
      <c r="E3" s="2">
        <f>MIN(-90, -89-Masks[[#This Row],[f]]/(600000000*S_ch_us),-82-Masks[[#This Row],[f]]/(250000000*S_ch_us))-K_ch_UPSD_us</f>
        <v>-93.979400086720375</v>
      </c>
      <c r="F3" s="2">
        <f>MIN(-90, -89-Masks[[#This Row],[f]]/(600000000*S_ch_ds),-82-Masks[[#This Row],[f]]/(250000000*S_ch_ds))-K_ch_UPSD_ds</f>
        <v>-93.979400086720375</v>
      </c>
      <c r="G3">
        <f>-MAX(MIN(20,20-10*LOG10(2*Masks[[#This Row],[f]]/480000000)),12-3)</f>
        <v>-20</v>
      </c>
      <c r="H3">
        <f>-MAX(MIN(20,20-10*LOG10(2*Masks[[#This Row],[f]]/480000000)),12-3)</f>
        <v>-20</v>
      </c>
      <c r="I3">
        <f>10*LOG10(POWER(10,Tx_power_us/10)/F_Nyquist_us)+IF(Masks[[#This Row],[f]]&gt;F_Nyquist_us,-50)</f>
        <v>-98.470325397914564</v>
      </c>
      <c r="J3" s="3">
        <f>10*LOG10(POWER(10,Tx_power_ds/10)/F_Nyquist_ds)+IF(Masks[[#This Row],[f]]&gt;F_Nyquist_ds,-50)</f>
        <v>-98.470325397914564</v>
      </c>
      <c r="K3" s="1">
        <f>20*LOG10(ABS(SIN(PI()*Masks[[#This Row],[f]]/Config!$B$41/2000000000)/(PI()*Masks[[#This Row],[f]]/Config!$B$41/2000000000)))+Tx_power_us-10*LOG10(F_Nyquist_us)+1.11</f>
        <v>-97.360910630638642</v>
      </c>
      <c r="L3" s="1">
        <f>20*LOG10(ABS(SIN(PI()*Masks[[#This Row],[f]]/Config!$B$41/2000000000)/(PI()*Masks[[#This Row],[f]]/Config!$B$41/2000000000)))+Tx_power_ds-10*LOG10(F_Nyquist_ds)+1.11</f>
        <v>-97.360910630638642</v>
      </c>
      <c r="M3" s="1">
        <f>10*LOG10(1/(1+(Masks[[#This Row],[f]]/Config!$B$41/1000000000)^6))+Tx_power_us-10*LOG10(F_Nyquist_us)+0.45</f>
        <v>-98.020325397933661</v>
      </c>
      <c r="N3" s="1">
        <f>10*LOG10(1/(1+(Masks[[#This Row],[f]]/Config!$C$41/1000000000)^6))+Tx_power_ds-10*LOG10(F_Nyquist_ds)+0.45</f>
        <v>-98.020325397933661</v>
      </c>
      <c r="O3" s="3">
        <f>IF(Masks[[#This Row],[f]]&gt;F_Nyquist_us,0,1)</f>
        <v>1</v>
      </c>
      <c r="P3" s="3">
        <f>IF(Masks[[#This Row],[f]]&gt;F_Nyquist_ds,0,1)</f>
        <v>1</v>
      </c>
      <c r="Q3" s="2">
        <f>Config!B$40</f>
        <v>-41.640813746660612</v>
      </c>
      <c r="R3" s="3">
        <f>IF(Config!B$8&gt;0,10*LOG10($X$1*Masks[[#This Row],[f]]+Config!B$8*0.00073),-1000)</f>
        <v>-23.516399890190684</v>
      </c>
      <c r="S3" s="3">
        <f>10*LOG10((10^(Masks[[#This Row],[wire_echo]]/10))+(10^(Masks[[#This Row],[connector_echo]]/10)))</f>
        <v>-23.450022552161627</v>
      </c>
      <c r="T3" s="54"/>
      <c r="U3" s="54"/>
      <c r="W3" s="109" t="s">
        <v>97</v>
      </c>
      <c r="X3" s="109"/>
      <c r="Z3" s="27" t="s">
        <v>64</v>
      </c>
      <c r="AA3" s="37">
        <f>Config!B4/10</f>
        <v>2.5</v>
      </c>
      <c r="AB3" s="41">
        <f>Config!C4/10</f>
        <v>2.5</v>
      </c>
    </row>
    <row r="4" spans="1:28" ht="15.75" thickBot="1" x14ac:dyDescent="0.3">
      <c r="A4" s="2">
        <v>-97.361642193725203</v>
      </c>
      <c r="B4" s="2">
        <v>-97.361642193725203</v>
      </c>
      <c r="D4">
        <f>Calculate[[#This Row],[Freq]]</f>
        <v>135000000</v>
      </c>
      <c r="E4" s="2">
        <f>MIN(-90, -89-Masks[[#This Row],[f]]/(600000000*S_ch_us),-82-Masks[[#This Row],[f]]/(250000000*S_ch_us))-K_ch_UPSD_us</f>
        <v>-93.979400086720375</v>
      </c>
      <c r="F4" s="2">
        <f>MIN(-90, -89-Masks[[#This Row],[f]]/(600000000*S_ch_ds),-82-Masks[[#This Row],[f]]/(250000000*S_ch_ds))-K_ch_UPSD_ds</f>
        <v>-93.979400086720375</v>
      </c>
      <c r="G4">
        <f>-MAX(MIN(20,20-10*LOG10(2*Masks[[#This Row],[f]]/480000000)),12-3)</f>
        <v>-20</v>
      </c>
      <c r="H4">
        <f>-MAX(MIN(20,20-10*LOG10(2*Masks[[#This Row],[f]]/480000000)),12-3)</f>
        <v>-20</v>
      </c>
      <c r="I4">
        <f>10*LOG10(POWER(10,Tx_power_us/10)/F_Nyquist_us)+IF(Masks[[#This Row],[f]]&gt;F_Nyquist_us,-50)</f>
        <v>-98.470325397914564</v>
      </c>
      <c r="J4" s="3">
        <f>10*LOG10(POWER(10,Tx_power_ds/10)/F_Nyquist_ds)+IF(Masks[[#This Row],[f]]&gt;F_Nyquist_ds,-50)</f>
        <v>-98.470325397914564</v>
      </c>
      <c r="K4" s="1">
        <f>20*LOG10(ABS(SIN(PI()*Masks[[#This Row],[f]]/Config!$B$41/2000000000)/(PI()*Masks[[#This Row],[f]]/Config!$B$41/2000000000)))+Tx_power_us-10*LOG10(F_Nyquist_us)+1.11</f>
        <v>-97.361642193725203</v>
      </c>
      <c r="L4" s="1">
        <f>20*LOG10(ABS(SIN(PI()*Masks[[#This Row],[f]]/Config!$B$41/2000000000)/(PI()*Masks[[#This Row],[f]]/Config!$B$41/2000000000)))+Tx_power_ds-10*LOG10(F_Nyquist_ds)+1.11</f>
        <v>-97.361642193725203</v>
      </c>
      <c r="M4" s="1">
        <f>10*LOG10(1/(1+(Masks[[#This Row],[f]]/Config!$B$41/1000000000)^6))+Tx_power_us-10*LOG10(F_Nyquist_us)+0.45</f>
        <v>-98.02032539813213</v>
      </c>
      <c r="N4" s="1">
        <f>10*LOG10(1/(1+(Masks[[#This Row],[f]]/Config!$C$41/1000000000)^6))+Tx_power_ds-10*LOG10(F_Nyquist_ds)+0.45</f>
        <v>-98.02032539813213</v>
      </c>
      <c r="O4" s="3">
        <f>IF(Masks[[#This Row],[f]]&gt;F_Nyquist_us,0,1)</f>
        <v>1</v>
      </c>
      <c r="P4" s="3">
        <f>IF(Masks[[#This Row],[f]]&gt;F_Nyquist_ds,0,1)</f>
        <v>1</v>
      </c>
      <c r="Q4" s="2">
        <f>Config!B$40</f>
        <v>-41.640813746660612</v>
      </c>
      <c r="R4" s="3">
        <f>IF(Config!B$8&gt;0,10*LOG10($X$1*Masks[[#This Row],[f]]+Config!B$8*0.00073),-1000)</f>
        <v>-22.827456872374505</v>
      </c>
      <c r="S4" s="3">
        <f>10*LOG10((10^(Masks[[#This Row],[wire_echo]]/10))+(10^(Masks[[#This Row],[connector_echo]]/10)))</f>
        <v>-22.770753307810992</v>
      </c>
      <c r="T4" s="54"/>
      <c r="U4" s="54"/>
      <c r="W4" t="s">
        <v>89</v>
      </c>
      <c r="X4" t="s">
        <v>78</v>
      </c>
      <c r="Z4" s="28" t="s">
        <v>65</v>
      </c>
      <c r="AA4" s="44">
        <f>10*LOG10(AA3)</f>
        <v>3.9794000867203758</v>
      </c>
      <c r="AB4" s="45">
        <f>10*LOG10(AB3)</f>
        <v>3.9794000867203758</v>
      </c>
    </row>
    <row r="5" spans="1:28" x14ac:dyDescent="0.25">
      <c r="A5" s="2">
        <v>-97.362666423455991</v>
      </c>
      <c r="B5" s="2">
        <v>-97.362666423455991</v>
      </c>
      <c r="D5">
        <f>Calculate[[#This Row],[Freq]]</f>
        <v>180000000</v>
      </c>
      <c r="E5" s="2">
        <f>MIN(-90, -89-Masks[[#This Row],[f]]/(600000000*S_ch_us),-82-Masks[[#This Row],[f]]/(250000000*S_ch_us))-K_ch_UPSD_us</f>
        <v>-93.979400086720375</v>
      </c>
      <c r="F5" s="2">
        <f>MIN(-90, -89-Masks[[#This Row],[f]]/(600000000*S_ch_ds),-82-Masks[[#This Row],[f]]/(250000000*S_ch_ds))-K_ch_UPSD_ds</f>
        <v>-93.979400086720375</v>
      </c>
      <c r="G5">
        <f>-MAX(MIN(20,20-10*LOG10(2*Masks[[#This Row],[f]]/480000000)),12-3)</f>
        <v>-20</v>
      </c>
      <c r="H5">
        <f>-MAX(MIN(20,20-10*LOG10(2*Masks[[#This Row],[f]]/480000000)),12-3)</f>
        <v>-20</v>
      </c>
      <c r="I5">
        <f>10*LOG10(POWER(10,Tx_power_us/10)/F_Nyquist_us)+IF(Masks[[#This Row],[f]]&gt;F_Nyquist_us,-50)</f>
        <v>-98.470325397914564</v>
      </c>
      <c r="J5" s="3">
        <f>10*LOG10(POWER(10,Tx_power_ds/10)/F_Nyquist_ds)+IF(Masks[[#This Row],[f]]&gt;F_Nyquist_ds,-50)</f>
        <v>-98.470325397914564</v>
      </c>
      <c r="K5" s="1">
        <f>20*LOG10(ABS(SIN(PI()*Masks[[#This Row],[f]]/Config!$B$41/2000000000)/(PI()*Masks[[#This Row],[f]]/Config!$B$41/2000000000)))+Tx_power_us-10*LOG10(F_Nyquist_us)+1.11</f>
        <v>-97.362666423455991</v>
      </c>
      <c r="L5" s="1">
        <f>20*LOG10(ABS(SIN(PI()*Masks[[#This Row],[f]]/Config!$B$41/2000000000)/(PI()*Masks[[#This Row],[f]]/Config!$B$41/2000000000)))+Tx_power_ds-10*LOG10(F_Nyquist_ds)+1.11</f>
        <v>-97.362666423455991</v>
      </c>
      <c r="M5" s="1">
        <f>10*LOG10(1/(1+(Masks[[#This Row],[f]]/Config!$B$41/1000000000)^6))+Tx_power_us-10*LOG10(F_Nyquist_us)+0.45</f>
        <v>-98.020325399136993</v>
      </c>
      <c r="N5" s="1">
        <f>10*LOG10(1/(1+(Masks[[#This Row],[f]]/Config!$C$41/1000000000)^6))+Tx_power_ds-10*LOG10(F_Nyquist_ds)+0.45</f>
        <v>-98.020325399136993</v>
      </c>
      <c r="O5" s="3">
        <f>IF(Masks[[#This Row],[f]]&gt;F_Nyquist_us,0,1)</f>
        <v>1</v>
      </c>
      <c r="P5" s="3">
        <f>IF(Masks[[#This Row],[f]]&gt;F_Nyquist_ds,0,1)</f>
        <v>1</v>
      </c>
      <c r="Q5" s="2">
        <f>Config!B$40</f>
        <v>-41.640813746660612</v>
      </c>
      <c r="R5" s="3">
        <f>IF(Config!B$8&gt;0,10*LOG10($X$1*Masks[[#This Row],[f]]+Config!B$8*0.00073),-1000)</f>
        <v>-22.232988160115891</v>
      </c>
      <c r="S5" s="3">
        <f>10*LOG10((10^(Masks[[#This Row],[wire_echo]]/10))+(10^(Masks[[#This Row],[connector_echo]]/10)))</f>
        <v>-22.183497316077574</v>
      </c>
      <c r="T5" s="54"/>
      <c r="U5" s="54"/>
      <c r="W5" t="s">
        <v>81</v>
      </c>
      <c r="X5">
        <v>7.5E-11</v>
      </c>
    </row>
    <row r="6" spans="1:28" x14ac:dyDescent="0.25">
      <c r="A6" s="2">
        <v>-97.363983361250234</v>
      </c>
      <c r="B6" s="2">
        <v>-97.363983361250234</v>
      </c>
      <c r="D6">
        <f>Calculate[[#This Row],[Freq]]</f>
        <v>225000000</v>
      </c>
      <c r="E6" s="2">
        <f>MIN(-90, -89-Masks[[#This Row],[f]]/(600000000*S_ch_us),-82-Masks[[#This Row],[f]]/(250000000*S_ch_us))-K_ch_UPSD_us</f>
        <v>-93.979400086720375</v>
      </c>
      <c r="F6" s="2">
        <f>MIN(-90, -89-Masks[[#This Row],[f]]/(600000000*S_ch_ds),-82-Masks[[#This Row],[f]]/(250000000*S_ch_ds))-K_ch_UPSD_ds</f>
        <v>-93.979400086720375</v>
      </c>
      <c r="G6">
        <f>-MAX(MIN(20,20-10*LOG10(2*Masks[[#This Row],[f]]/480000000)),12-3)</f>
        <v>-20</v>
      </c>
      <c r="H6">
        <f>-MAX(MIN(20,20-10*LOG10(2*Masks[[#This Row],[f]]/480000000)),12-3)</f>
        <v>-20</v>
      </c>
      <c r="I6">
        <f>10*LOG10(POWER(10,Tx_power_us/10)/F_Nyquist_us)+IF(Masks[[#This Row],[f]]&gt;F_Nyquist_us,-50)</f>
        <v>-98.470325397914564</v>
      </c>
      <c r="J6" s="3">
        <f>10*LOG10(POWER(10,Tx_power_ds/10)/F_Nyquist_ds)+IF(Masks[[#This Row],[f]]&gt;F_Nyquist_ds,-50)</f>
        <v>-98.470325397914564</v>
      </c>
      <c r="K6" s="1">
        <f>20*LOG10(ABS(SIN(PI()*Masks[[#This Row],[f]]/Config!$B$41/2000000000)/(PI()*Masks[[#This Row],[f]]/Config!$B$41/2000000000)))+Tx_power_us-10*LOG10(F_Nyquist_us)+1.11</f>
        <v>-97.363983361250234</v>
      </c>
      <c r="L6" s="1">
        <f>20*LOG10(ABS(SIN(PI()*Masks[[#This Row],[f]]/Config!$B$41/2000000000)/(PI()*Masks[[#This Row],[f]]/Config!$B$41/2000000000)))+Tx_power_ds-10*LOG10(F_Nyquist_ds)+1.11</f>
        <v>-97.363983361250234</v>
      </c>
      <c r="M6" s="1">
        <f>10*LOG10(1/(1+(Masks[[#This Row],[f]]/Config!$B$41/1000000000)^6))+Tx_power_us-10*LOG10(F_Nyquist_us)+0.45</f>
        <v>-98.020325402577768</v>
      </c>
      <c r="N6" s="1">
        <f>10*LOG10(1/(1+(Masks[[#This Row],[f]]/Config!$C$41/1000000000)^6))+Tx_power_ds-10*LOG10(F_Nyquist_ds)+0.45</f>
        <v>-98.020325402577768</v>
      </c>
      <c r="O6" s="3">
        <f>IF(Masks[[#This Row],[f]]&gt;F_Nyquist_us,0,1)</f>
        <v>1</v>
      </c>
      <c r="P6" s="3">
        <f>IF(Masks[[#This Row],[f]]&gt;F_Nyquist_ds,0,1)</f>
        <v>1</v>
      </c>
      <c r="Q6" s="2">
        <f>Config!B$40</f>
        <v>-41.640813746660612</v>
      </c>
      <c r="R6" s="3">
        <f>IF(Config!B$8&gt;0,10*LOG10($X$1*Masks[[#This Row],[f]]+Config!B$8*0.00073),-1000)</f>
        <v>-21.710180459920771</v>
      </c>
      <c r="S6" s="3">
        <f>10*LOG10((10^(Masks[[#This Row],[wire_echo]]/10))+(10^(Masks[[#This Row],[connector_echo]]/10)))</f>
        <v>-21.666274463936823</v>
      </c>
      <c r="T6" s="54"/>
      <c r="U6" s="54"/>
      <c r="W6" t="s">
        <v>79</v>
      </c>
      <c r="X6" s="1">
        <v>1.6999999999999999E-11</v>
      </c>
    </row>
    <row r="7" spans="1:28" x14ac:dyDescent="0.25">
      <c r="A7" s="2">
        <v>-97.365593060374835</v>
      </c>
      <c r="B7" s="2">
        <v>-97.365593060374835</v>
      </c>
      <c r="D7">
        <f>Calculate[[#This Row],[Freq]]</f>
        <v>270000000</v>
      </c>
      <c r="E7" s="2">
        <f>MIN(-90, -89-Masks[[#This Row],[f]]/(600000000*S_ch_us),-82-Masks[[#This Row],[f]]/(250000000*S_ch_us))-K_ch_UPSD_us</f>
        <v>-93.979400086720375</v>
      </c>
      <c r="F7" s="2">
        <f>MIN(-90, -89-Masks[[#This Row],[f]]/(600000000*S_ch_ds),-82-Masks[[#This Row],[f]]/(250000000*S_ch_ds))-K_ch_UPSD_ds</f>
        <v>-93.979400086720375</v>
      </c>
      <c r="G7">
        <f>-MAX(MIN(20,20-10*LOG10(2*Masks[[#This Row],[f]]/480000000)),12-3)</f>
        <v>-19.488474775526186</v>
      </c>
      <c r="H7">
        <f>-MAX(MIN(20,20-10*LOG10(2*Masks[[#This Row],[f]]/480000000)),12-3)</f>
        <v>-19.488474775526186</v>
      </c>
      <c r="I7">
        <f>10*LOG10(POWER(10,Tx_power_us/10)/F_Nyquist_us)+IF(Masks[[#This Row],[f]]&gt;F_Nyquist_us,-50)</f>
        <v>-98.470325397914564</v>
      </c>
      <c r="J7" s="3">
        <f>10*LOG10(POWER(10,Tx_power_ds/10)/F_Nyquist_ds)+IF(Masks[[#This Row],[f]]&gt;F_Nyquist_ds,-50)</f>
        <v>-98.470325397914564</v>
      </c>
      <c r="K7" s="1">
        <f>20*LOG10(ABS(SIN(PI()*Masks[[#This Row],[f]]/Config!$B$41/2000000000)/(PI()*Masks[[#This Row],[f]]/Config!$B$41/2000000000)))+Tx_power_us-10*LOG10(F_Nyquist_us)+1.11</f>
        <v>-97.365593060374835</v>
      </c>
      <c r="L7" s="1">
        <f>20*LOG10(ABS(SIN(PI()*Masks[[#This Row],[f]]/Config!$B$41/2000000000)/(PI()*Masks[[#This Row],[f]]/Config!$B$41/2000000000)))+Tx_power_ds-10*LOG10(F_Nyquist_ds)+1.11</f>
        <v>-97.365593060374835</v>
      </c>
      <c r="M7" s="1">
        <f>10*LOG10(1/(1+(Masks[[#This Row],[f]]/Config!$B$41/1000000000)^6))+Tx_power_us-10*LOG10(F_Nyquist_us)+0.45</f>
        <v>-98.020325411838812</v>
      </c>
      <c r="N7" s="1">
        <f>10*LOG10(1/(1+(Masks[[#This Row],[f]]/Config!$C$41/1000000000)^6))+Tx_power_ds-10*LOG10(F_Nyquist_ds)+0.45</f>
        <v>-98.020325411838812</v>
      </c>
      <c r="O7" s="3">
        <f>IF(Masks[[#This Row],[f]]&gt;F_Nyquist_us,0,1)</f>
        <v>1</v>
      </c>
      <c r="P7" s="3">
        <f>IF(Masks[[#This Row],[f]]&gt;F_Nyquist_ds,0,1)</f>
        <v>1</v>
      </c>
      <c r="Q7" s="2">
        <f>Config!B$40</f>
        <v>-41.640813746660612</v>
      </c>
      <c r="R7" s="3">
        <f>IF(Config!B$8&gt;0,10*LOG10($X$1*Masks[[#This Row],[f]]+Config!B$8*0.00073),-1000)</f>
        <v>-21.243600629958316</v>
      </c>
      <c r="S7" s="3">
        <f>10*LOG10((10^(Masks[[#This Row],[wire_echo]]/10))+(10^(Masks[[#This Row],[connector_echo]]/10)))</f>
        <v>-21.204146831993278</v>
      </c>
      <c r="T7" s="54"/>
      <c r="U7" s="54"/>
      <c r="W7" t="s">
        <v>76</v>
      </c>
      <c r="X7" s="1">
        <v>9.9999999999999998E-13</v>
      </c>
    </row>
    <row r="8" spans="1:28" x14ac:dyDescent="0.25">
      <c r="A8" s="2">
        <v>-97.367495585954714</v>
      </c>
      <c r="B8" s="2">
        <v>-97.367495585954714</v>
      </c>
      <c r="D8">
        <f>Calculate[[#This Row],[Freq]]</f>
        <v>315000000</v>
      </c>
      <c r="E8" s="2">
        <f>MIN(-90, -89-Masks[[#This Row],[f]]/(600000000*S_ch_us),-82-Masks[[#This Row],[f]]/(250000000*S_ch_us))-K_ch_UPSD_us</f>
        <v>-93.979400086720375</v>
      </c>
      <c r="F8" s="2">
        <f>MIN(-90, -89-Masks[[#This Row],[f]]/(600000000*S_ch_ds),-82-Masks[[#This Row],[f]]/(250000000*S_ch_ds))-K_ch_UPSD_ds</f>
        <v>-93.979400086720375</v>
      </c>
      <c r="G8">
        <f>-MAX(MIN(20,20-10*LOG10(2*Masks[[#This Row],[f]]/480000000)),12-3)</f>
        <v>-18.819006879220055</v>
      </c>
      <c r="H8">
        <f>-MAX(MIN(20,20-10*LOG10(2*Masks[[#This Row],[f]]/480000000)),12-3)</f>
        <v>-18.819006879220055</v>
      </c>
      <c r="I8">
        <f>10*LOG10(POWER(10,Tx_power_us/10)/F_Nyquist_us)+IF(Masks[[#This Row],[f]]&gt;F_Nyquist_us,-50)</f>
        <v>-98.470325397914564</v>
      </c>
      <c r="J8" s="3">
        <f>10*LOG10(POWER(10,Tx_power_ds/10)/F_Nyquist_ds)+IF(Masks[[#This Row],[f]]&gt;F_Nyquist_ds,-50)</f>
        <v>-98.470325397914564</v>
      </c>
      <c r="K8" s="1">
        <f>20*LOG10(ABS(SIN(PI()*Masks[[#This Row],[f]]/Config!$B$41/2000000000)/(PI()*Masks[[#This Row],[f]]/Config!$B$41/2000000000)))+Tx_power_us-10*LOG10(F_Nyquist_us)+1.11</f>
        <v>-97.367495585954714</v>
      </c>
      <c r="L8" s="1">
        <f>20*LOG10(ABS(SIN(PI()*Masks[[#This Row],[f]]/Config!$B$41/2000000000)/(PI()*Masks[[#This Row],[f]]/Config!$B$41/2000000000)))+Tx_power_ds-10*LOG10(F_Nyquist_ds)+1.11</f>
        <v>-97.367495585954714</v>
      </c>
      <c r="M8" s="1">
        <f>10*LOG10(1/(1+(Masks[[#This Row],[f]]/Config!$B$41/1000000000)^6))+Tx_power_us-10*LOG10(F_Nyquist_us)+0.45</f>
        <v>-98.020325433026301</v>
      </c>
      <c r="N8" s="1">
        <f>10*LOG10(1/(1+(Masks[[#This Row],[f]]/Config!$C$41/1000000000)^6))+Tx_power_ds-10*LOG10(F_Nyquist_ds)+0.45</f>
        <v>-98.020325433026301</v>
      </c>
      <c r="O8" s="3">
        <f>IF(Masks[[#This Row],[f]]&gt;F_Nyquist_us,0,1)</f>
        <v>1</v>
      </c>
      <c r="P8" s="3">
        <f>IF(Masks[[#This Row],[f]]&gt;F_Nyquist_ds,0,1)</f>
        <v>1</v>
      </c>
      <c r="Q8" s="2">
        <f>Config!B$40</f>
        <v>-41.640813746660612</v>
      </c>
      <c r="R8" s="3">
        <f>IF(Config!B$8&gt;0,10*LOG10($X$1*Masks[[#This Row],[f]]+Config!B$8*0.00073),-1000)</f>
        <v>-20.822319975522436</v>
      </c>
      <c r="S8" s="3">
        <f>10*LOG10((10^(Masks[[#This Row],[wire_echo]]/10))+(10^(Masks[[#This Row],[connector_echo]]/10)))</f>
        <v>-20.786498569130391</v>
      </c>
      <c r="T8" s="54"/>
      <c r="U8" s="54"/>
      <c r="W8" t="s">
        <v>77</v>
      </c>
      <c r="X8" s="1">
        <v>1E-14</v>
      </c>
    </row>
    <row r="9" spans="1:28" x14ac:dyDescent="0.25">
      <c r="A9" s="2">
        <v>-97.369691014985335</v>
      </c>
      <c r="B9" s="2">
        <v>-97.369691014985335</v>
      </c>
      <c r="D9">
        <f>Calculate[[#This Row],[Freq]]</f>
        <v>360000000</v>
      </c>
      <c r="E9" s="2">
        <f>MIN(-90, -89-Masks[[#This Row],[f]]/(600000000*S_ch_us),-82-Masks[[#This Row],[f]]/(250000000*S_ch_us))-K_ch_UPSD_us</f>
        <v>-93.979400086720375</v>
      </c>
      <c r="F9" s="2">
        <f>MIN(-90, -89-Masks[[#This Row],[f]]/(600000000*S_ch_ds),-82-Masks[[#This Row],[f]]/(250000000*S_ch_ds))-K_ch_UPSD_ds</f>
        <v>-93.979400086720375</v>
      </c>
      <c r="G9">
        <f>-MAX(MIN(20,20-10*LOG10(2*Masks[[#This Row],[f]]/480000000)),12-3)</f>
        <v>-18.239087409443187</v>
      </c>
      <c r="H9">
        <f>-MAX(MIN(20,20-10*LOG10(2*Masks[[#This Row],[f]]/480000000)),12-3)</f>
        <v>-18.239087409443187</v>
      </c>
      <c r="I9">
        <f>10*LOG10(POWER(10,Tx_power_us/10)/F_Nyquist_us)+IF(Masks[[#This Row],[f]]&gt;F_Nyquist_us,-50)</f>
        <v>-98.470325397914564</v>
      </c>
      <c r="J9" s="3">
        <f>10*LOG10(POWER(10,Tx_power_ds/10)/F_Nyquist_ds)+IF(Masks[[#This Row],[f]]&gt;F_Nyquist_ds,-50)</f>
        <v>-98.470325397914564</v>
      </c>
      <c r="K9" s="1">
        <f>20*LOG10(ABS(SIN(PI()*Masks[[#This Row],[f]]/Config!$B$41/2000000000)/(PI()*Masks[[#This Row],[f]]/Config!$B$41/2000000000)))+Tx_power_us-10*LOG10(F_Nyquist_us)+1.11</f>
        <v>-97.369691014985335</v>
      </c>
      <c r="L9" s="1">
        <f>20*LOG10(ABS(SIN(PI()*Masks[[#This Row],[f]]/Config!$B$41/2000000000)/(PI()*Masks[[#This Row],[f]]/Config!$B$41/2000000000)))+Tx_power_ds-10*LOG10(F_Nyquist_ds)+1.11</f>
        <v>-97.369691014985335</v>
      </c>
      <c r="M9" s="1">
        <f>10*LOG10(1/(1+(Masks[[#This Row],[f]]/Config!$B$41/1000000000)^6))+Tx_power_us-10*LOG10(F_Nyquist_us)+0.45</f>
        <v>-98.020325476150106</v>
      </c>
      <c r="N9" s="1">
        <f>10*LOG10(1/(1+(Masks[[#This Row],[f]]/Config!$C$41/1000000000)^6))+Tx_power_ds-10*LOG10(F_Nyquist_ds)+0.45</f>
        <v>-98.020325476150106</v>
      </c>
      <c r="O9" s="3">
        <f>IF(Masks[[#This Row],[f]]&gt;F_Nyquist_us,0,1)</f>
        <v>1</v>
      </c>
      <c r="P9" s="3">
        <f>IF(Masks[[#This Row],[f]]&gt;F_Nyquist_ds,0,1)</f>
        <v>1</v>
      </c>
      <c r="Q9" s="2">
        <f>Config!B$40</f>
        <v>-41.640813746660612</v>
      </c>
      <c r="R9" s="3">
        <f>IF(Config!B$8&gt;0,10*LOG10($X$1*Masks[[#This Row],[f]]+Config!B$8*0.00073),-1000)</f>
        <v>-20.438315695246366</v>
      </c>
      <c r="S9" s="3">
        <f>10*LOG10((10^(Masks[[#This Row],[wire_echo]]/10))+(10^(Masks[[#This Row],[connector_echo]]/10)))</f>
        <v>-20.405514218225246</v>
      </c>
      <c r="T9" s="54"/>
      <c r="U9" s="54"/>
    </row>
    <row r="10" spans="1:28" x14ac:dyDescent="0.25">
      <c r="A10" s="2">
        <v>-97.372179436347551</v>
      </c>
      <c r="B10" s="2">
        <v>-97.372179436347551</v>
      </c>
      <c r="D10">
        <f>Calculate[[#This Row],[Freq]]</f>
        <v>405000000</v>
      </c>
      <c r="E10" s="2">
        <f>MIN(-90, -89-Masks[[#This Row],[f]]/(600000000*S_ch_us),-82-Masks[[#This Row],[f]]/(250000000*S_ch_us))-K_ch_UPSD_us</f>
        <v>-93.979400086720375</v>
      </c>
      <c r="F10" s="2">
        <f>MIN(-90, -89-Masks[[#This Row],[f]]/(600000000*S_ch_ds),-82-Masks[[#This Row],[f]]/(250000000*S_ch_ds))-K_ch_UPSD_ds</f>
        <v>-93.979400086720375</v>
      </c>
      <c r="G10">
        <f>-MAX(MIN(20,20-10*LOG10(2*Masks[[#This Row],[f]]/480000000)),12-3)</f>
        <v>-17.727562184969376</v>
      </c>
      <c r="H10">
        <f>-MAX(MIN(20,20-10*LOG10(2*Masks[[#This Row],[f]]/480000000)),12-3)</f>
        <v>-17.727562184969376</v>
      </c>
      <c r="I10">
        <f>10*LOG10(POWER(10,Tx_power_us/10)/F_Nyquist_us)+IF(Masks[[#This Row],[f]]&gt;F_Nyquist_us,-50)</f>
        <v>-98.470325397914564</v>
      </c>
      <c r="J10" s="3">
        <f>10*LOG10(POWER(10,Tx_power_ds/10)/F_Nyquist_ds)+IF(Masks[[#This Row],[f]]&gt;F_Nyquist_ds,-50)</f>
        <v>-98.470325397914564</v>
      </c>
      <c r="K10" s="1">
        <f>20*LOG10(ABS(SIN(PI()*Masks[[#This Row],[f]]/Config!$B$41/2000000000)/(PI()*Masks[[#This Row],[f]]/Config!$B$41/2000000000)))+Tx_power_us-10*LOG10(F_Nyquist_us)+1.11</f>
        <v>-97.372179436347551</v>
      </c>
      <c r="L10" s="1">
        <f>20*LOG10(ABS(SIN(PI()*Masks[[#This Row],[f]]/Config!$B$41/2000000000)/(PI()*Masks[[#This Row],[f]]/Config!$B$41/2000000000)))+Tx_power_ds-10*LOG10(F_Nyquist_ds)+1.11</f>
        <v>-97.372179436347551</v>
      </c>
      <c r="M10" s="1">
        <f>10*LOG10(1/(1+(Masks[[#This Row],[f]]/Config!$B$41/1000000000)^6))+Tx_power_us-10*LOG10(F_Nyquist_us)+0.45</f>
        <v>-98.020325556520419</v>
      </c>
      <c r="N10" s="1">
        <f>10*LOG10(1/(1+(Masks[[#This Row],[f]]/Config!$C$41/1000000000)^6))+Tx_power_ds-10*LOG10(F_Nyquist_ds)+0.45</f>
        <v>-98.020325556520419</v>
      </c>
      <c r="O10" s="3">
        <f>IF(Masks[[#This Row],[f]]&gt;F_Nyquist_us,0,1)</f>
        <v>1</v>
      </c>
      <c r="P10" s="3">
        <f>IF(Masks[[#This Row],[f]]&gt;F_Nyquist_ds,0,1)</f>
        <v>1</v>
      </c>
      <c r="Q10" s="2">
        <f>Config!B$40</f>
        <v>-41.640813746660612</v>
      </c>
      <c r="R10" s="3">
        <f>IF(Config!B$8&gt;0,10*LOG10($X$1*Masks[[#This Row],[f]]+Config!B$8*0.00073),-1000)</f>
        <v>-20.085524019961973</v>
      </c>
      <c r="S10" s="3">
        <f>10*LOG10((10^(Masks[[#This Row],[wire_echo]]/10))+(10^(Masks[[#This Row],[connector_echo]]/10)))</f>
        <v>-20.055272868983213</v>
      </c>
      <c r="T10" s="54"/>
      <c r="U10" s="54"/>
    </row>
    <row r="11" spans="1:28" x14ac:dyDescent="0.25">
      <c r="A11" s="2">
        <v>-97.374960950824729</v>
      </c>
      <c r="B11" s="2">
        <v>-97.374960950824729</v>
      </c>
      <c r="D11">
        <f>Calculate[[#This Row],[Freq]]</f>
        <v>450000000</v>
      </c>
      <c r="E11" s="2">
        <f>MIN(-90, -89-Masks[[#This Row],[f]]/(600000000*S_ch_us),-82-Masks[[#This Row],[f]]/(250000000*S_ch_us))-K_ch_UPSD_us</f>
        <v>-93.979400086720375</v>
      </c>
      <c r="F11" s="2">
        <f>MIN(-90, -89-Masks[[#This Row],[f]]/(600000000*S_ch_ds),-82-Masks[[#This Row],[f]]/(250000000*S_ch_ds))-K_ch_UPSD_ds</f>
        <v>-93.979400086720375</v>
      </c>
      <c r="G11">
        <f>-MAX(MIN(20,20-10*LOG10(2*Masks[[#This Row],[f]]/480000000)),12-3)</f>
        <v>-17.269987279362624</v>
      </c>
      <c r="H11">
        <f>-MAX(MIN(20,20-10*LOG10(2*Masks[[#This Row],[f]]/480000000)),12-3)</f>
        <v>-17.269987279362624</v>
      </c>
      <c r="I11">
        <f>10*LOG10(POWER(10,Tx_power_us/10)/F_Nyquist_us)+IF(Masks[[#This Row],[f]]&gt;F_Nyquist_us,-50)</f>
        <v>-98.470325397914564</v>
      </c>
      <c r="J11" s="3">
        <f>10*LOG10(POWER(10,Tx_power_ds/10)/F_Nyquist_ds)+IF(Masks[[#This Row],[f]]&gt;F_Nyquist_ds,-50)</f>
        <v>-98.470325397914564</v>
      </c>
      <c r="K11" s="1">
        <f>20*LOG10(ABS(SIN(PI()*Masks[[#This Row],[f]]/Config!$B$41/2000000000)/(PI()*Masks[[#This Row],[f]]/Config!$B$41/2000000000)))+Tx_power_us-10*LOG10(F_Nyquist_us)+1.11</f>
        <v>-97.374960950824729</v>
      </c>
      <c r="L11" s="1">
        <f>20*LOG10(ABS(SIN(PI()*Masks[[#This Row],[f]]/Config!$B$41/2000000000)/(PI()*Masks[[#This Row],[f]]/Config!$B$41/2000000000)))+Tx_power_ds-10*LOG10(F_Nyquist_ds)+1.11</f>
        <v>-97.374960950824729</v>
      </c>
      <c r="M11" s="1">
        <f>10*LOG10(1/(1+(Masks[[#This Row],[f]]/Config!$B$41/1000000000)^6))+Tx_power_us-10*LOG10(F_Nyquist_us)+0.45</f>
        <v>-98.02032569635945</v>
      </c>
      <c r="N11" s="1">
        <f>10*LOG10(1/(1+(Masks[[#This Row],[f]]/Config!$C$41/1000000000)^6))+Tx_power_ds-10*LOG10(F_Nyquist_ds)+0.45</f>
        <v>-98.02032569635945</v>
      </c>
      <c r="O11" s="3">
        <f>IF(Masks[[#This Row],[f]]&gt;F_Nyquist_us,0,1)</f>
        <v>1</v>
      </c>
      <c r="P11" s="3">
        <f>IF(Masks[[#This Row],[f]]&gt;F_Nyquist_ds,0,1)</f>
        <v>1</v>
      </c>
      <c r="Q11" s="2">
        <f>Config!B$40</f>
        <v>-41.640813746660612</v>
      </c>
      <c r="R11" s="3">
        <f>IF(Config!B$8&gt;0,10*LOG10($X$1*Masks[[#This Row],[f]]+Config!B$8*0.00073),-1000)</f>
        <v>-19.759250126925739</v>
      </c>
      <c r="S11" s="3">
        <f>10*LOG10((10^(Masks[[#This Row],[wire_echo]]/10))+(10^(Masks[[#This Row],[connector_echo]]/10)))</f>
        <v>-19.731181332890216</v>
      </c>
      <c r="T11" s="54"/>
      <c r="U11" s="54"/>
    </row>
    <row r="12" spans="1:28" x14ac:dyDescent="0.25">
      <c r="A12" s="2">
        <v>-97.378035671122277</v>
      </c>
      <c r="B12" s="2">
        <v>-97.378035671122277</v>
      </c>
      <c r="D12">
        <f>Calculate[[#This Row],[Freq]]</f>
        <v>495000000</v>
      </c>
      <c r="E12" s="2">
        <f>MIN(-90, -89-Masks[[#This Row],[f]]/(600000000*S_ch_us),-82-Masks[[#This Row],[f]]/(250000000*S_ch_us))-K_ch_UPSD_us</f>
        <v>-93.979400086720375</v>
      </c>
      <c r="F12" s="2">
        <f>MIN(-90, -89-Masks[[#This Row],[f]]/(600000000*S_ch_ds),-82-Masks[[#This Row],[f]]/(250000000*S_ch_ds))-K_ch_UPSD_ds</f>
        <v>-93.979400086720375</v>
      </c>
      <c r="G12">
        <f>-MAX(MIN(20,20-10*LOG10(2*Masks[[#This Row],[f]]/480000000)),12-3)</f>
        <v>-16.856060427780374</v>
      </c>
      <c r="H12">
        <f>-MAX(MIN(20,20-10*LOG10(2*Masks[[#This Row],[f]]/480000000)),12-3)</f>
        <v>-16.856060427780374</v>
      </c>
      <c r="I12">
        <f>10*LOG10(POWER(10,Tx_power_us/10)/F_Nyquist_us)+IF(Masks[[#This Row],[f]]&gt;F_Nyquist_us,-50)</f>
        <v>-98.470325397914564</v>
      </c>
      <c r="J12" s="3">
        <f>10*LOG10(POWER(10,Tx_power_ds/10)/F_Nyquist_ds)+IF(Masks[[#This Row],[f]]&gt;F_Nyquist_ds,-50)</f>
        <v>-98.470325397914564</v>
      </c>
      <c r="K12" s="1">
        <f>20*LOG10(ABS(SIN(PI()*Masks[[#This Row],[f]]/Config!$B$41/2000000000)/(PI()*Masks[[#This Row],[f]]/Config!$B$41/2000000000)))+Tx_power_us-10*LOG10(F_Nyquist_us)+1.11</f>
        <v>-97.378035671122277</v>
      </c>
      <c r="L12" s="1">
        <f>20*LOG10(ABS(SIN(PI()*Masks[[#This Row],[f]]/Config!$B$41/2000000000)/(PI()*Masks[[#This Row],[f]]/Config!$B$41/2000000000)))+Tx_power_ds-10*LOG10(F_Nyquist_ds)+1.11</f>
        <v>-97.378035671122277</v>
      </c>
      <c r="M12" s="1">
        <f>10*LOG10(1/(1+(Masks[[#This Row],[f]]/Config!$B$41/1000000000)^6))+Tx_power_us-10*LOG10(F_Nyquist_us)+0.45</f>
        <v>-98.020325926627862</v>
      </c>
      <c r="N12" s="1">
        <f>10*LOG10(1/(1+(Masks[[#This Row],[f]]/Config!$C$41/1000000000)^6))+Tx_power_ds-10*LOG10(F_Nyquist_ds)+0.45</f>
        <v>-98.020325926627862</v>
      </c>
      <c r="O12" s="3">
        <f>IF(Masks[[#This Row],[f]]&gt;F_Nyquist_us,0,1)</f>
        <v>1</v>
      </c>
      <c r="P12" s="3">
        <f>IF(Masks[[#This Row],[f]]&gt;F_Nyquist_ds,0,1)</f>
        <v>1</v>
      </c>
      <c r="Q12" s="2">
        <f>Config!B$40</f>
        <v>-41.640813746660612</v>
      </c>
      <c r="R12" s="3">
        <f>IF(Config!B$8&gt;0,10*LOG10($X$1*Masks[[#This Row],[f]]+Config!B$8*0.00073),-1000)</f>
        <v>-19.455784755374637</v>
      </c>
      <c r="S12" s="3">
        <f>10*LOG10((10^(Masks[[#This Row],[wire_echo]]/10))+(10^(Masks[[#This Row],[connector_echo]]/10)))</f>
        <v>-19.429604628419273</v>
      </c>
      <c r="T12" s="54"/>
      <c r="U12" s="54"/>
      <c r="W12" t="s">
        <v>147</v>
      </c>
      <c r="X12">
        <f>_xlfn.XLOOKUP(Config!$B$7,WireReflection[Reference],WireReflection[Value],Config!$B$7)</f>
        <v>-41.640813746660612</v>
      </c>
    </row>
    <row r="13" spans="1:28" x14ac:dyDescent="0.25">
      <c r="A13" s="2">
        <v>-97.381403721889328</v>
      </c>
      <c r="B13" s="2">
        <v>-97.381403721889328</v>
      </c>
      <c r="D13">
        <f>Calculate[[#This Row],[Freq]]</f>
        <v>540000000</v>
      </c>
      <c r="E13" s="2">
        <f>MIN(-90, -89-Masks[[#This Row],[f]]/(600000000*S_ch_us),-82-Masks[[#This Row],[f]]/(250000000*S_ch_us))-K_ch_UPSD_us</f>
        <v>-93.979400086720375</v>
      </c>
      <c r="F13" s="2">
        <f>MIN(-90, -89-Masks[[#This Row],[f]]/(600000000*S_ch_ds),-82-Masks[[#This Row],[f]]/(250000000*S_ch_ds))-K_ch_UPSD_ds</f>
        <v>-93.979400086720375</v>
      </c>
      <c r="G13">
        <f>-MAX(MIN(20,20-10*LOG10(2*Masks[[#This Row],[f]]/480000000)),12-3)</f>
        <v>-16.478174818886377</v>
      </c>
      <c r="H13">
        <f>-MAX(MIN(20,20-10*LOG10(2*Masks[[#This Row],[f]]/480000000)),12-3)</f>
        <v>-16.478174818886377</v>
      </c>
      <c r="I13">
        <f>10*LOG10(POWER(10,Tx_power_us/10)/F_Nyquist_us)+IF(Masks[[#This Row],[f]]&gt;F_Nyquist_us,-50)</f>
        <v>-98.470325397914564</v>
      </c>
      <c r="J13" s="3">
        <f>10*LOG10(POWER(10,Tx_power_ds/10)/F_Nyquist_ds)+IF(Masks[[#This Row],[f]]&gt;F_Nyquist_ds,-50)</f>
        <v>-98.470325397914564</v>
      </c>
      <c r="K13" s="1">
        <f>20*LOG10(ABS(SIN(PI()*Masks[[#This Row],[f]]/Config!$B$41/2000000000)/(PI()*Masks[[#This Row],[f]]/Config!$B$41/2000000000)))+Tx_power_us-10*LOG10(F_Nyquist_us)+1.11</f>
        <v>-97.381403721889328</v>
      </c>
      <c r="L13" s="1">
        <f>20*LOG10(ABS(SIN(PI()*Masks[[#This Row],[f]]/Config!$B$41/2000000000)/(PI()*Masks[[#This Row],[f]]/Config!$B$41/2000000000)))+Tx_power_ds-10*LOG10(F_Nyquist_ds)+1.11</f>
        <v>-97.381403721889328</v>
      </c>
      <c r="M13" s="1">
        <f>10*LOG10(1/(1+(Masks[[#This Row],[f]]/Config!$B$41/1000000000)^6))+Tx_power_us-10*LOG10(F_Nyquist_us)+0.45</f>
        <v>-98.020326289066148</v>
      </c>
      <c r="N13" s="1">
        <f>10*LOG10(1/(1+(Masks[[#This Row],[f]]/Config!$C$41/1000000000)^6))+Tx_power_ds-10*LOG10(F_Nyquist_ds)+0.45</f>
        <v>-98.020326289066148</v>
      </c>
      <c r="O13" s="3">
        <f>IF(Masks[[#This Row],[f]]&gt;F_Nyquist_us,0,1)</f>
        <v>1</v>
      </c>
      <c r="P13" s="3">
        <f>IF(Masks[[#This Row],[f]]&gt;F_Nyquist_ds,0,1)</f>
        <v>1</v>
      </c>
      <c r="Q13" s="2">
        <f>Config!B$40</f>
        <v>-41.640813746660612</v>
      </c>
      <c r="R13" s="3">
        <f>IF(Config!B$8&gt;0,10*LOG10($X$1*Masks[[#This Row],[f]]+Config!B$8*0.00073),-1000)</f>
        <v>-19.1721462968355</v>
      </c>
      <c r="S13" s="3">
        <f>10*LOG10((10^(Masks[[#This Row],[wire_echo]]/10))+(10^(Masks[[#This Row],[connector_echo]]/10)))</f>
        <v>-19.147616694428201</v>
      </c>
      <c r="T13" s="54"/>
      <c r="U13" s="54"/>
      <c r="W13" t="s">
        <v>115</v>
      </c>
      <c r="X13" t="s">
        <v>116</v>
      </c>
    </row>
    <row r="14" spans="1:28" x14ac:dyDescent="0.25">
      <c r="A14" s="2">
        <v>-97.385065239742929</v>
      </c>
      <c r="B14" s="2">
        <v>-97.385065239742929</v>
      </c>
      <c r="D14">
        <f>Calculate[[#This Row],[Freq]]</f>
        <v>585000000</v>
      </c>
      <c r="E14" s="2">
        <f>MIN(-90, -89-Masks[[#This Row],[f]]/(600000000*S_ch_us),-82-Masks[[#This Row],[f]]/(250000000*S_ch_us))-K_ch_UPSD_us</f>
        <v>-93.979400086720375</v>
      </c>
      <c r="F14" s="2">
        <f>MIN(-90, -89-Masks[[#This Row],[f]]/(600000000*S_ch_ds),-82-Masks[[#This Row],[f]]/(250000000*S_ch_ds))-K_ch_UPSD_ds</f>
        <v>-93.979400086720375</v>
      </c>
      <c r="G14">
        <f>-MAX(MIN(20,20-10*LOG10(2*Masks[[#This Row],[f]]/480000000)),12-3)</f>
        <v>-16.130553756294255</v>
      </c>
      <c r="H14">
        <f>-MAX(MIN(20,20-10*LOG10(2*Masks[[#This Row],[f]]/480000000)),12-3)</f>
        <v>-16.130553756294255</v>
      </c>
      <c r="I14">
        <f>10*LOG10(POWER(10,Tx_power_us/10)/F_Nyquist_us)+IF(Masks[[#This Row],[f]]&gt;F_Nyquist_us,-50)</f>
        <v>-98.470325397914564</v>
      </c>
      <c r="J14" s="3">
        <f>10*LOG10(POWER(10,Tx_power_ds/10)/F_Nyquist_ds)+IF(Masks[[#This Row],[f]]&gt;F_Nyquist_ds,-50)</f>
        <v>-98.470325397914564</v>
      </c>
      <c r="K14" s="1">
        <f>20*LOG10(ABS(SIN(PI()*Masks[[#This Row],[f]]/Config!$B$41/2000000000)/(PI()*Masks[[#This Row],[f]]/Config!$B$41/2000000000)))+Tx_power_us-10*LOG10(F_Nyquist_us)+1.11</f>
        <v>-97.385065239742929</v>
      </c>
      <c r="L14" s="1">
        <f>20*LOG10(ABS(SIN(PI()*Masks[[#This Row],[f]]/Config!$B$41/2000000000)/(PI()*Masks[[#This Row],[f]]/Config!$B$41/2000000000)))+Tx_power_ds-10*LOG10(F_Nyquist_ds)+1.11</f>
        <v>-97.385065239742929</v>
      </c>
      <c r="M14" s="1">
        <f>10*LOG10(1/(1+(Masks[[#This Row],[f]]/Config!$B$41/1000000000)^6))+Tx_power_us-10*LOG10(F_Nyquist_us)+0.45</f>
        <v>-98.020326838450828</v>
      </c>
      <c r="N14" s="1">
        <f>10*LOG10(1/(1+(Masks[[#This Row],[f]]/Config!$C$41/1000000000)^6))+Tx_power_ds-10*LOG10(F_Nyquist_ds)+0.45</f>
        <v>-98.020326838450828</v>
      </c>
      <c r="O14" s="3">
        <f>IF(Masks[[#This Row],[f]]&gt;F_Nyquist_us,0,1)</f>
        <v>1</v>
      </c>
      <c r="P14" s="3">
        <f>IF(Masks[[#This Row],[f]]&gt;F_Nyquist_ds,0,1)</f>
        <v>1</v>
      </c>
      <c r="Q14" s="2">
        <f>Config!B$40</f>
        <v>-41.640813746660612</v>
      </c>
      <c r="R14" s="3">
        <f>IF(Config!B$8&gt;0,10*LOG10($X$1*Masks[[#This Row],[f]]+Config!B$8*0.00073),-1000)</f>
        <v>-18.905902094536348</v>
      </c>
      <c r="S14" s="3">
        <f>10*LOG10((10^(Masks[[#This Row],[wire_echo]]/10))+(10^(Masks[[#This Row],[connector_echo]]/10)))</f>
        <v>-18.882827244207171</v>
      </c>
      <c r="T14" s="54"/>
      <c r="U14" s="54"/>
      <c r="W14" t="s">
        <v>139</v>
      </c>
      <c r="X14">
        <v>-40</v>
      </c>
    </row>
    <row r="15" spans="1:28" x14ac:dyDescent="0.25">
      <c r="A15" s="2">
        <v>-97.389020373294386</v>
      </c>
      <c r="B15" s="2">
        <v>-97.389020373294386</v>
      </c>
      <c r="D15">
        <f>Calculate[[#This Row],[Freq]]</f>
        <v>630000000</v>
      </c>
      <c r="E15" s="2">
        <f>MIN(-90, -89-Masks[[#This Row],[f]]/(600000000*S_ch_us),-82-Masks[[#This Row],[f]]/(250000000*S_ch_us))-K_ch_UPSD_us</f>
        <v>-93.979400086720375</v>
      </c>
      <c r="F15" s="2">
        <f>MIN(-90, -89-Masks[[#This Row],[f]]/(600000000*S_ch_ds),-82-Masks[[#This Row],[f]]/(250000000*S_ch_ds))-K_ch_UPSD_ds</f>
        <v>-93.979400086720375</v>
      </c>
      <c r="G15">
        <f>-MAX(MIN(20,20-10*LOG10(2*Masks[[#This Row],[f]]/480000000)),12-3)</f>
        <v>-15.808706922580242</v>
      </c>
      <c r="H15">
        <f>-MAX(MIN(20,20-10*LOG10(2*Masks[[#This Row],[f]]/480000000)),12-3)</f>
        <v>-15.808706922580242</v>
      </c>
      <c r="I15">
        <f>10*LOG10(POWER(10,Tx_power_us/10)/F_Nyquist_us)+IF(Masks[[#This Row],[f]]&gt;F_Nyquist_us,-50)</f>
        <v>-98.470325397914564</v>
      </c>
      <c r="J15" s="3">
        <f>10*LOG10(POWER(10,Tx_power_ds/10)/F_Nyquist_ds)+IF(Masks[[#This Row],[f]]&gt;F_Nyquist_ds,-50)</f>
        <v>-98.470325397914564</v>
      </c>
      <c r="K15" s="1">
        <f>20*LOG10(ABS(SIN(PI()*Masks[[#This Row],[f]]/Config!$B$41/2000000000)/(PI()*Masks[[#This Row],[f]]/Config!$B$41/2000000000)))+Tx_power_us-10*LOG10(F_Nyquist_us)+1.11</f>
        <v>-97.389020373294386</v>
      </c>
      <c r="L15" s="1">
        <f>20*LOG10(ABS(SIN(PI()*Masks[[#This Row],[f]]/Config!$B$41/2000000000)/(PI()*Masks[[#This Row],[f]]/Config!$B$41/2000000000)))+Tx_power_ds-10*LOG10(F_Nyquist_ds)+1.11</f>
        <v>-97.389020373294386</v>
      </c>
      <c r="M15" s="1">
        <f>10*LOG10(1/(1+(Masks[[#This Row],[f]]/Config!$B$41/1000000000)^6))+Tx_power_us-10*LOG10(F_Nyquist_us)+0.45</f>
        <v>-98.020327645065564</v>
      </c>
      <c r="N15" s="1">
        <f>10*LOG10(1/(1+(Masks[[#This Row],[f]]/Config!$C$41/1000000000)^6))+Tx_power_ds-10*LOG10(F_Nyquist_ds)+0.45</f>
        <v>-98.020327645065564</v>
      </c>
      <c r="O15" s="3">
        <f>IF(Masks[[#This Row],[f]]&gt;F_Nyquist_us,0,1)</f>
        <v>1</v>
      </c>
      <c r="P15" s="3">
        <f>IF(Masks[[#This Row],[f]]&gt;F_Nyquist_ds,0,1)</f>
        <v>1</v>
      </c>
      <c r="Q15" s="2">
        <f>Config!B$40</f>
        <v>-41.640813746660612</v>
      </c>
      <c r="R15" s="3">
        <f>IF(Config!B$8&gt;0,10*LOG10($X$1*Masks[[#This Row],[f]]+Config!B$8*0.00073),-1000)</f>
        <v>-18.655041441653264</v>
      </c>
      <c r="S15" s="3">
        <f>10*LOG10((10^(Masks[[#This Row],[wire_echo]]/10))+(10^(Masks[[#This Row],[connector_echo]]/10)))</f>
        <v>-18.633258452455912</v>
      </c>
      <c r="T15" s="54"/>
      <c r="U15" s="54"/>
      <c r="W15" t="s">
        <v>140</v>
      </c>
      <c r="X15" s="2">
        <f>MIN(-35,-Config!B43-15)</f>
        <v>-41.640813746660612</v>
      </c>
    </row>
    <row r="16" spans="1:28" x14ac:dyDescent="0.25">
      <c r="A16" s="2">
        <v>-97.393269283178128</v>
      </c>
      <c r="B16" s="2">
        <v>-97.393269283178128</v>
      </c>
      <c r="D16">
        <f>Calculate[[#This Row],[Freq]]</f>
        <v>675000000</v>
      </c>
      <c r="E16" s="2">
        <f>MIN(-90, -89-Masks[[#This Row],[f]]/(600000000*S_ch_us),-82-Masks[[#This Row],[f]]/(250000000*S_ch_us))-K_ch_UPSD_us</f>
        <v>-93.979400086720375</v>
      </c>
      <c r="F16" s="2">
        <f>MIN(-90, -89-Masks[[#This Row],[f]]/(600000000*S_ch_ds),-82-Masks[[#This Row],[f]]/(250000000*S_ch_ds))-K_ch_UPSD_ds</f>
        <v>-93.979400086720375</v>
      </c>
      <c r="G16">
        <f>-MAX(MIN(20,20-10*LOG10(2*Masks[[#This Row],[f]]/480000000)),12-3)</f>
        <v>-15.509074688805811</v>
      </c>
      <c r="H16">
        <f>-MAX(MIN(20,20-10*LOG10(2*Masks[[#This Row],[f]]/480000000)),12-3)</f>
        <v>-15.509074688805811</v>
      </c>
      <c r="I16">
        <f>10*LOG10(POWER(10,Tx_power_us/10)/F_Nyquist_us)+IF(Masks[[#This Row],[f]]&gt;F_Nyquist_us,-50)</f>
        <v>-98.470325397914564</v>
      </c>
      <c r="J16" s="3">
        <f>10*LOG10(POWER(10,Tx_power_ds/10)/F_Nyquist_ds)+IF(Masks[[#This Row],[f]]&gt;F_Nyquist_ds,-50)</f>
        <v>-98.470325397914564</v>
      </c>
      <c r="K16" s="1">
        <f>20*LOG10(ABS(SIN(PI()*Masks[[#This Row],[f]]/Config!$B$41/2000000000)/(PI()*Masks[[#This Row],[f]]/Config!$B$41/2000000000)))+Tx_power_us-10*LOG10(F_Nyquist_us)+1.11</f>
        <v>-97.393269283178128</v>
      </c>
      <c r="L16" s="1">
        <f>20*LOG10(ABS(SIN(PI()*Masks[[#This Row],[f]]/Config!$B$41/2000000000)/(PI()*Masks[[#This Row],[f]]/Config!$B$41/2000000000)))+Tx_power_ds-10*LOG10(F_Nyquist_ds)+1.11</f>
        <v>-97.393269283178128</v>
      </c>
      <c r="M16" s="1">
        <f>10*LOG10(1/(1+(Masks[[#This Row],[f]]/Config!$B$41/1000000000)^6))+Tx_power_us-10*LOG10(F_Nyquist_us)+0.45</f>
        <v>-98.020328797387123</v>
      </c>
      <c r="N16" s="1">
        <f>10*LOG10(1/(1+(Masks[[#This Row],[f]]/Config!$C$41/1000000000)^6))+Tx_power_ds-10*LOG10(F_Nyquist_ds)+0.45</f>
        <v>-98.020328797387123</v>
      </c>
      <c r="O16" s="3">
        <f>IF(Masks[[#This Row],[f]]&gt;F_Nyquist_us,0,1)</f>
        <v>1</v>
      </c>
      <c r="P16" s="3">
        <f>IF(Masks[[#This Row],[f]]&gt;F_Nyquist_ds,0,1)</f>
        <v>1</v>
      </c>
      <c r="Q16" s="2">
        <f>Config!B$40</f>
        <v>-41.640813746660612</v>
      </c>
      <c r="R16" s="3">
        <f>IF(Config!B$8&gt;0,10*LOG10($X$1*Masks[[#This Row],[f]]+Config!B$8*0.00073),-1000)</f>
        <v>-18.417883307858993</v>
      </c>
      <c r="S16" s="3">
        <f>10*LOG10((10^(Masks[[#This Row],[wire_echo]]/10))+(10^(Masks[[#This Row],[connector_echo]]/10)))</f>
        <v>-18.397255197146119</v>
      </c>
      <c r="T16" s="54"/>
      <c r="U16" s="54"/>
      <c r="W16" s="53" t="s">
        <v>131</v>
      </c>
      <c r="X16" s="53">
        <v>-38</v>
      </c>
    </row>
    <row r="17" spans="1:24" x14ac:dyDescent="0.25">
      <c r="A17" s="2">
        <v>-97.397812142082799</v>
      </c>
      <c r="B17" s="2">
        <v>-97.397812142082799</v>
      </c>
      <c r="D17">
        <f>Calculate[[#This Row],[Freq]]</f>
        <v>720000000</v>
      </c>
      <c r="E17" s="2">
        <f>MIN(-90, -89-Masks[[#This Row],[f]]/(600000000*S_ch_us),-82-Masks[[#This Row],[f]]/(250000000*S_ch_us))-K_ch_UPSD_us</f>
        <v>-93.979400086720375</v>
      </c>
      <c r="F17" s="2">
        <f>MIN(-90, -89-Masks[[#This Row],[f]]/(600000000*S_ch_ds),-82-Masks[[#This Row],[f]]/(250000000*S_ch_ds))-K_ch_UPSD_ds</f>
        <v>-93.979400086720375</v>
      </c>
      <c r="G17">
        <f>-MAX(MIN(20,20-10*LOG10(2*Masks[[#This Row],[f]]/480000000)),12-3)</f>
        <v>-15.228787452803376</v>
      </c>
      <c r="H17">
        <f>-MAX(MIN(20,20-10*LOG10(2*Masks[[#This Row],[f]]/480000000)),12-3)</f>
        <v>-15.228787452803376</v>
      </c>
      <c r="I17">
        <f>10*LOG10(POWER(10,Tx_power_us/10)/F_Nyquist_us)+IF(Masks[[#This Row],[f]]&gt;F_Nyquist_us,-50)</f>
        <v>-98.470325397914564</v>
      </c>
      <c r="J17" s="3">
        <f>10*LOG10(POWER(10,Tx_power_ds/10)/F_Nyquist_ds)+IF(Masks[[#This Row],[f]]&gt;F_Nyquist_ds,-50)</f>
        <v>-98.470325397914564</v>
      </c>
      <c r="K17" s="1">
        <f>20*LOG10(ABS(SIN(PI()*Masks[[#This Row],[f]]/Config!$B$41/2000000000)/(PI()*Masks[[#This Row],[f]]/Config!$B$41/2000000000)))+Tx_power_us-10*LOG10(F_Nyquist_us)+1.11</f>
        <v>-97.397812142082799</v>
      </c>
      <c r="L17" s="1">
        <f>20*LOG10(ABS(SIN(PI()*Masks[[#This Row],[f]]/Config!$B$41/2000000000)/(PI()*Masks[[#This Row],[f]]/Config!$B$41/2000000000)))+Tx_power_ds-10*LOG10(F_Nyquist_ds)+1.11</f>
        <v>-97.397812142082799</v>
      </c>
      <c r="M17" s="1">
        <f>10*LOG10(1/(1+(Masks[[#This Row],[f]]/Config!$B$41/1000000000)^6))+Tx_power_us-10*LOG10(F_Nyquist_us)+0.45</f>
        <v>-98.020330404986154</v>
      </c>
      <c r="N17" s="1">
        <f>10*LOG10(1/(1+(Masks[[#This Row],[f]]/Config!$C$41/1000000000)^6))+Tx_power_ds-10*LOG10(F_Nyquist_ds)+0.45</f>
        <v>-98.020330404986154</v>
      </c>
      <c r="O17" s="3">
        <f>IF(Masks[[#This Row],[f]]&gt;F_Nyquist_us,0,1)</f>
        <v>1</v>
      </c>
      <c r="P17" s="3">
        <f>IF(Masks[[#This Row],[f]]&gt;F_Nyquist_ds,0,1)</f>
        <v>1</v>
      </c>
      <c r="Q17" s="2">
        <f>Config!B$40</f>
        <v>-41.640813746660612</v>
      </c>
      <c r="R17" s="3">
        <f>IF(Config!B$8&gt;0,10*LOG10($X$1*Masks[[#This Row],[f]]+Config!B$8*0.00073),-1000)</f>
        <v>-18.193007987039653</v>
      </c>
      <c r="S17" s="3">
        <f>10*LOG10((10^(Masks[[#This Row],[wire_echo]]/10))+(10^(Masks[[#This Row],[connector_echo]]/10)))</f>
        <v>-18.17341846269607</v>
      </c>
      <c r="T17" s="54"/>
      <c r="U17" s="54"/>
      <c r="W17" s="79" t="s">
        <v>132</v>
      </c>
      <c r="X17" s="79">
        <v>-42</v>
      </c>
    </row>
    <row r="18" spans="1:24" x14ac:dyDescent="0.25">
      <c r="A18" s="2">
        <v>-97.402649134784795</v>
      </c>
      <c r="B18" s="2">
        <v>-97.402649134784795</v>
      </c>
      <c r="D18">
        <f>Calculate[[#This Row],[Freq]]</f>
        <v>765000000</v>
      </c>
      <c r="E18" s="2">
        <f>MIN(-90, -89-Masks[[#This Row],[f]]/(600000000*S_ch_us),-82-Masks[[#This Row],[f]]/(250000000*S_ch_us))-K_ch_UPSD_us</f>
        <v>-93.979400086720375</v>
      </c>
      <c r="F18" s="2">
        <f>MIN(-90, -89-Masks[[#This Row],[f]]/(600000000*S_ch_ds),-82-Masks[[#This Row],[f]]/(250000000*S_ch_ds))-K_ch_UPSD_ds</f>
        <v>-93.979400086720375</v>
      </c>
      <c r="G18">
        <f>-MAX(MIN(20,20-10*LOG10(2*Masks[[#This Row],[f]]/480000000)),12-3)</f>
        <v>-14.965498065579883</v>
      </c>
      <c r="H18">
        <f>-MAX(MIN(20,20-10*LOG10(2*Masks[[#This Row],[f]]/480000000)),12-3)</f>
        <v>-14.965498065579883</v>
      </c>
      <c r="I18">
        <f>10*LOG10(POWER(10,Tx_power_us/10)/F_Nyquist_us)+IF(Masks[[#This Row],[f]]&gt;F_Nyquist_us,-50)</f>
        <v>-98.470325397914564</v>
      </c>
      <c r="J18" s="3">
        <f>10*LOG10(POWER(10,Tx_power_ds/10)/F_Nyquist_ds)+IF(Masks[[#This Row],[f]]&gt;F_Nyquist_ds,-50)</f>
        <v>-98.470325397914564</v>
      </c>
      <c r="K18" s="1">
        <f>20*LOG10(ABS(SIN(PI()*Masks[[#This Row],[f]]/Config!$B$41/2000000000)/(PI()*Masks[[#This Row],[f]]/Config!$B$41/2000000000)))+Tx_power_us-10*LOG10(F_Nyquist_us)+1.11</f>
        <v>-97.402649134784795</v>
      </c>
      <c r="L18" s="1">
        <f>20*LOG10(ABS(SIN(PI()*Masks[[#This Row],[f]]/Config!$B$41/2000000000)/(PI()*Masks[[#This Row],[f]]/Config!$B$41/2000000000)))+Tx_power_ds-10*LOG10(F_Nyquist_ds)+1.11</f>
        <v>-97.402649134784795</v>
      </c>
      <c r="M18" s="1">
        <f>10*LOG10(1/(1+(Masks[[#This Row],[f]]/Config!$B$41/1000000000)^6))+Tx_power_us-10*LOG10(F_Nyquist_us)+0.45</f>
        <v>-98.020332601642849</v>
      </c>
      <c r="N18" s="1">
        <f>10*LOG10(1/(1+(Masks[[#This Row],[f]]/Config!$C$41/1000000000)^6))+Tx_power_ds-10*LOG10(F_Nyquist_ds)+0.45</f>
        <v>-98.020332601642849</v>
      </c>
      <c r="O18" s="3">
        <f>IF(Masks[[#This Row],[f]]&gt;F_Nyquist_us,0,1)</f>
        <v>1</v>
      </c>
      <c r="P18" s="3">
        <f>IF(Masks[[#This Row],[f]]&gt;F_Nyquist_ds,0,1)</f>
        <v>1</v>
      </c>
      <c r="Q18" s="2">
        <f>Config!B$40</f>
        <v>-41.640813746660612</v>
      </c>
      <c r="R18" s="3">
        <f>IF(Config!B$8&gt;0,10*LOG10($X$1*Masks[[#This Row],[f]]+Config!B$8*0.00073),-1000)</f>
        <v>-17.979205589926121</v>
      </c>
      <c r="S18" s="3">
        <f>10*LOG10((10^(Masks[[#This Row],[wire_echo]]/10))+(10^(Masks[[#This Row],[connector_echo]]/10)))</f>
        <v>-17.960555083171215</v>
      </c>
      <c r="T18" s="54"/>
      <c r="U18" s="54"/>
    </row>
    <row r="19" spans="1:24" x14ac:dyDescent="0.25">
      <c r="A19" s="2">
        <v>-97.407780458184163</v>
      </c>
      <c r="B19" s="2">
        <v>-97.407780458184163</v>
      </c>
      <c r="D19">
        <f>Calculate[[#This Row],[Freq]]</f>
        <v>810000000</v>
      </c>
      <c r="E19" s="2">
        <f>MIN(-90, -89-Masks[[#This Row],[f]]/(600000000*S_ch_us),-82-Masks[[#This Row],[f]]/(250000000*S_ch_us))-K_ch_UPSD_us</f>
        <v>-93.979400086720375</v>
      </c>
      <c r="F19" s="2">
        <f>MIN(-90, -89-Masks[[#This Row],[f]]/(600000000*S_ch_ds),-82-Masks[[#This Row],[f]]/(250000000*S_ch_ds))-K_ch_UPSD_ds</f>
        <v>-93.979400086720375</v>
      </c>
      <c r="G19">
        <f>-MAX(MIN(20,20-10*LOG10(2*Masks[[#This Row],[f]]/480000000)),12-3)</f>
        <v>-14.717262228329563</v>
      </c>
      <c r="H19">
        <f>-MAX(MIN(20,20-10*LOG10(2*Masks[[#This Row],[f]]/480000000)),12-3)</f>
        <v>-14.717262228329563</v>
      </c>
      <c r="I19">
        <f>10*LOG10(POWER(10,Tx_power_us/10)/F_Nyquist_us)+IF(Masks[[#This Row],[f]]&gt;F_Nyquist_us,-50)</f>
        <v>-98.470325397914564</v>
      </c>
      <c r="J19" s="3">
        <f>10*LOG10(POWER(10,Tx_power_ds/10)/F_Nyquist_ds)+IF(Masks[[#This Row],[f]]&gt;F_Nyquist_ds,-50)</f>
        <v>-98.470325397914564</v>
      </c>
      <c r="K19" s="1">
        <f>20*LOG10(ABS(SIN(PI()*Masks[[#This Row],[f]]/Config!$B$41/2000000000)/(PI()*Masks[[#This Row],[f]]/Config!$B$41/2000000000)))+Tx_power_us-10*LOG10(F_Nyquist_us)+1.11</f>
        <v>-97.407780458184163</v>
      </c>
      <c r="L19" s="1">
        <f>20*LOG10(ABS(SIN(PI()*Masks[[#This Row],[f]]/Config!$B$41/2000000000)/(PI()*Masks[[#This Row],[f]]/Config!$B$41/2000000000)))+Tx_power_ds-10*LOG10(F_Nyquist_ds)+1.11</f>
        <v>-97.407780458184163</v>
      </c>
      <c r="M19" s="1">
        <f>10*LOG10(1/(1+(Masks[[#This Row],[f]]/Config!$B$41/1000000000)^6))+Tx_power_us-10*LOG10(F_Nyquist_us)+0.45</f>
        <v>-98.020335548677338</v>
      </c>
      <c r="N19" s="1">
        <f>10*LOG10(1/(1+(Masks[[#This Row],[f]]/Config!$C$41/1000000000)^6))+Tx_power_ds-10*LOG10(F_Nyquist_ds)+0.45</f>
        <v>-98.020335548677338</v>
      </c>
      <c r="O19" s="3">
        <f>IF(Masks[[#This Row],[f]]&gt;F_Nyquist_us,0,1)</f>
        <v>1</v>
      </c>
      <c r="P19" s="3">
        <f>IF(Masks[[#This Row],[f]]&gt;F_Nyquist_ds,0,1)</f>
        <v>1</v>
      </c>
      <c r="Q19" s="2">
        <f>Config!B$40</f>
        <v>-41.640813746660612</v>
      </c>
      <c r="R19" s="3">
        <f>IF(Config!B$8&gt;0,10*LOG10($X$1*Masks[[#This Row],[f]]+Config!B$8*0.00073),-1000)</f>
        <v>-17.775436633207534</v>
      </c>
      <c r="S19" s="3">
        <f>10*LOG10((10^(Masks[[#This Row],[wire_echo]]/10))+(10^(Masks[[#This Row],[connector_echo]]/10)))</f>
        <v>-17.757639238742357</v>
      </c>
      <c r="T19" s="54"/>
      <c r="U19" s="54"/>
    </row>
    <row r="20" spans="1:24" x14ac:dyDescent="0.25">
      <c r="A20" s="2">
        <v>-97.413206321342912</v>
      </c>
      <c r="B20" s="2">
        <v>-97.413206321342912</v>
      </c>
      <c r="D20">
        <f>Calculate[[#This Row],[Freq]]</f>
        <v>855000000</v>
      </c>
      <c r="E20" s="2">
        <f>MIN(-90, -89-Masks[[#This Row],[f]]/(600000000*S_ch_us),-82-Masks[[#This Row],[f]]/(250000000*S_ch_us))-K_ch_UPSD_us</f>
        <v>-93.979400086720375</v>
      </c>
      <c r="F20" s="2">
        <f>MIN(-90, -89-Masks[[#This Row],[f]]/(600000000*S_ch_ds),-82-Masks[[#This Row],[f]]/(250000000*S_ch_ds))-K_ch_UPSD_ds</f>
        <v>-93.979400086720375</v>
      </c>
      <c r="G20">
        <f>-MAX(MIN(20,20-10*LOG10(2*Masks[[#This Row],[f]]/480000000)),12-3)</f>
        <v>-14.482451269834334</v>
      </c>
      <c r="H20">
        <f>-MAX(MIN(20,20-10*LOG10(2*Masks[[#This Row],[f]]/480000000)),12-3)</f>
        <v>-14.482451269834334</v>
      </c>
      <c r="I20">
        <f>10*LOG10(POWER(10,Tx_power_us/10)/F_Nyquist_us)+IF(Masks[[#This Row],[f]]&gt;F_Nyquist_us,-50)</f>
        <v>-98.470325397914564</v>
      </c>
      <c r="J20" s="3">
        <f>10*LOG10(POWER(10,Tx_power_ds/10)/F_Nyquist_ds)+IF(Masks[[#This Row],[f]]&gt;F_Nyquist_ds,-50)</f>
        <v>-98.470325397914564</v>
      </c>
      <c r="K20" s="1">
        <f>20*LOG10(ABS(SIN(PI()*Masks[[#This Row],[f]]/Config!$B$41/2000000000)/(PI()*Masks[[#This Row],[f]]/Config!$B$41/2000000000)))+Tx_power_us-10*LOG10(F_Nyquist_us)+1.11</f>
        <v>-97.413206321342912</v>
      </c>
      <c r="L20" s="1">
        <f>20*LOG10(ABS(SIN(PI()*Masks[[#This Row],[f]]/Config!$B$41/2000000000)/(PI()*Masks[[#This Row],[f]]/Config!$B$41/2000000000)))+Tx_power_ds-10*LOG10(F_Nyquist_ds)+1.11</f>
        <v>-97.413206321342912</v>
      </c>
      <c r="M20" s="1">
        <f>10*LOG10(1/(1+(Masks[[#This Row],[f]]/Config!$B$41/1000000000)^6))+Tx_power_us-10*LOG10(F_Nyquist_us)+0.45</f>
        <v>-98.020339438494901</v>
      </c>
      <c r="N20" s="1">
        <f>10*LOG10(1/(1+(Masks[[#This Row],[f]]/Config!$C$41/1000000000)^6))+Tx_power_ds-10*LOG10(F_Nyquist_ds)+0.45</f>
        <v>-98.020339438494901</v>
      </c>
      <c r="O20" s="3">
        <f>IF(Masks[[#This Row],[f]]&gt;F_Nyquist_us,0,1)</f>
        <v>1</v>
      </c>
      <c r="P20" s="3">
        <f>IF(Masks[[#This Row],[f]]&gt;F_Nyquist_ds,0,1)</f>
        <v>1</v>
      </c>
      <c r="Q20" s="2">
        <f>Config!B$40</f>
        <v>-41.640813746660612</v>
      </c>
      <c r="R20" s="3">
        <f>IF(Config!B$8&gt;0,10*LOG10($X$1*Masks[[#This Row],[f]]+Config!B$8*0.00073),-1000)</f>
        <v>-17.580801468498024</v>
      </c>
      <c r="S20" s="3">
        <f>10*LOG10((10^(Masks[[#This Row],[wire_echo]]/10))+(10^(Masks[[#This Row],[connector_echo]]/10)))</f>
        <v>-17.563782553865018</v>
      </c>
      <c r="T20" s="54"/>
      <c r="U20" s="54"/>
    </row>
    <row r="21" spans="1:24" x14ac:dyDescent="0.25">
      <c r="A21" s="2">
        <v>-97.418926945525754</v>
      </c>
      <c r="B21" s="2">
        <v>-97.418926945525754</v>
      </c>
      <c r="D21">
        <f>Calculate[[#This Row],[Freq]]</f>
        <v>900000000</v>
      </c>
      <c r="E21" s="2">
        <f>MIN(-90, -89-Masks[[#This Row],[f]]/(600000000*S_ch_us),-82-Masks[[#This Row],[f]]/(250000000*S_ch_us))-K_ch_UPSD_us</f>
        <v>-93.979400086720375</v>
      </c>
      <c r="F21" s="2">
        <f>MIN(-90, -89-Masks[[#This Row],[f]]/(600000000*S_ch_ds),-82-Masks[[#This Row],[f]]/(250000000*S_ch_ds))-K_ch_UPSD_ds</f>
        <v>-93.979400086720375</v>
      </c>
      <c r="G21">
        <f>-MAX(MIN(20,20-10*LOG10(2*Masks[[#This Row],[f]]/480000000)),12-3)</f>
        <v>-14.259687322722812</v>
      </c>
      <c r="H21">
        <f>-MAX(MIN(20,20-10*LOG10(2*Masks[[#This Row],[f]]/480000000)),12-3)</f>
        <v>-14.259687322722812</v>
      </c>
      <c r="I21">
        <f>10*LOG10(POWER(10,Tx_power_us/10)/F_Nyquist_us)+IF(Masks[[#This Row],[f]]&gt;F_Nyquist_us,-50)</f>
        <v>-98.470325397914564</v>
      </c>
      <c r="J21" s="3">
        <f>10*LOG10(POWER(10,Tx_power_ds/10)/F_Nyquist_ds)+IF(Masks[[#This Row],[f]]&gt;F_Nyquist_ds,-50)</f>
        <v>-98.470325397914564</v>
      </c>
      <c r="K21" s="1">
        <f>20*LOG10(ABS(SIN(PI()*Masks[[#This Row],[f]]/Config!$B$41/2000000000)/(PI()*Masks[[#This Row],[f]]/Config!$B$41/2000000000)))+Tx_power_us-10*LOG10(F_Nyquist_us)+1.11</f>
        <v>-97.418926945525754</v>
      </c>
      <c r="L21" s="1">
        <f>20*LOG10(ABS(SIN(PI()*Masks[[#This Row],[f]]/Config!$B$41/2000000000)/(PI()*Masks[[#This Row],[f]]/Config!$B$41/2000000000)))+Tx_power_ds-10*LOG10(F_Nyquist_ds)+1.11</f>
        <v>-97.418926945525754</v>
      </c>
      <c r="M21" s="1">
        <f>10*LOG10(1/(1+(Masks[[#This Row],[f]]/Config!$B$41/1000000000)^6))+Tx_power_us-10*LOG10(F_Nyquist_us)+0.45</f>
        <v>-98.020344498345864</v>
      </c>
      <c r="N21" s="1">
        <f>10*LOG10(1/(1+(Masks[[#This Row],[f]]/Config!$C$41/1000000000)^6))+Tx_power_ds-10*LOG10(F_Nyquist_ds)+0.45</f>
        <v>-98.020344498345864</v>
      </c>
      <c r="O21" s="3">
        <f>IF(Masks[[#This Row],[f]]&gt;F_Nyquist_us,0,1)</f>
        <v>1</v>
      </c>
      <c r="P21" s="3">
        <f>IF(Masks[[#This Row],[f]]&gt;F_Nyquist_ds,0,1)</f>
        <v>1</v>
      </c>
      <c r="Q21" s="2">
        <f>Config!B$40</f>
        <v>-41.640813746660612</v>
      </c>
      <c r="R21" s="3">
        <f>IF(Config!B$8&gt;0,10*LOG10($X$1*Masks[[#This Row],[f]]+Config!B$8*0.00073),-1000)</f>
        <v>-17.394516273630206</v>
      </c>
      <c r="S21" s="3">
        <f>10*LOG10((10^(Masks[[#This Row],[wire_echo]]/10))+(10^(Masks[[#This Row],[connector_echo]]/10)))</f>
        <v>-17.37821058951176</v>
      </c>
      <c r="T21" s="54"/>
      <c r="U21" s="54"/>
      <c r="W21" t="s">
        <v>135</v>
      </c>
    </row>
    <row r="22" spans="1:24" x14ac:dyDescent="0.25">
      <c r="A22" s="2">
        <v>-97.424942564243224</v>
      </c>
      <c r="B22" s="2">
        <v>-97.424942564243224</v>
      </c>
      <c r="D22">
        <f>Calculate[[#This Row],[Freq]]</f>
        <v>945000000</v>
      </c>
      <c r="E22" s="2">
        <f>MIN(-90, -89-Masks[[#This Row],[f]]/(600000000*S_ch_us),-82-Masks[[#This Row],[f]]/(250000000*S_ch_us))-K_ch_UPSD_us</f>
        <v>-93.979400086720375</v>
      </c>
      <c r="F22" s="2">
        <f>MIN(-90, -89-Masks[[#This Row],[f]]/(600000000*S_ch_ds),-82-Masks[[#This Row],[f]]/(250000000*S_ch_ds))-K_ch_UPSD_ds</f>
        <v>-93.979400086720375</v>
      </c>
      <c r="G22">
        <f>-MAX(MIN(20,20-10*LOG10(2*Masks[[#This Row],[f]]/480000000)),12-3)</f>
        <v>-14.047794332023431</v>
      </c>
      <c r="H22">
        <f>-MAX(MIN(20,20-10*LOG10(2*Masks[[#This Row],[f]]/480000000)),12-3)</f>
        <v>-14.047794332023431</v>
      </c>
      <c r="I22">
        <f>10*LOG10(POWER(10,Tx_power_us/10)/F_Nyquist_us)+IF(Masks[[#This Row],[f]]&gt;F_Nyquist_us,-50)</f>
        <v>-98.470325397914564</v>
      </c>
      <c r="J22" s="3">
        <f>10*LOG10(POWER(10,Tx_power_ds/10)/F_Nyquist_ds)+IF(Masks[[#This Row],[f]]&gt;F_Nyquist_ds,-50)</f>
        <v>-98.470325397914564</v>
      </c>
      <c r="K22" s="1">
        <f>20*LOG10(ABS(SIN(PI()*Masks[[#This Row],[f]]/Config!$B$41/2000000000)/(PI()*Masks[[#This Row],[f]]/Config!$B$41/2000000000)))+Tx_power_us-10*LOG10(F_Nyquist_us)+1.11</f>
        <v>-97.424942564243224</v>
      </c>
      <c r="L22" s="1">
        <f>20*LOG10(ABS(SIN(PI()*Masks[[#This Row],[f]]/Config!$B$41/2000000000)/(PI()*Masks[[#This Row],[f]]/Config!$B$41/2000000000)))+Tx_power_ds-10*LOG10(F_Nyquist_ds)+1.11</f>
        <v>-97.424942564243224</v>
      </c>
      <c r="M22" s="1">
        <f>10*LOG10(1/(1+(Masks[[#This Row],[f]]/Config!$B$41/1000000000)^6))+Tx_power_us-10*LOG10(F_Nyquist_us)+0.45</f>
        <v>-98.020350994300145</v>
      </c>
      <c r="N22" s="1">
        <f>10*LOG10(1/(1+(Masks[[#This Row],[f]]/Config!$C$41/1000000000)^6))+Tx_power_ds-10*LOG10(F_Nyquist_ds)+0.45</f>
        <v>-98.020350994300145</v>
      </c>
      <c r="O22" s="3">
        <f>IF(Masks[[#This Row],[f]]&gt;F_Nyquist_us,0,1)</f>
        <v>1</v>
      </c>
      <c r="P22" s="3">
        <f>IF(Masks[[#This Row],[f]]&gt;F_Nyquist_ds,0,1)</f>
        <v>1</v>
      </c>
      <c r="Q22" s="2">
        <f>Config!B$40</f>
        <v>-41.640813746660612</v>
      </c>
      <c r="R22" s="3">
        <f>IF(Config!B$8&gt;0,10*LOG10($X$1*Masks[[#This Row],[f]]+Config!B$8*0.00073),-1000)</f>
        <v>-17.215893985241841</v>
      </c>
      <c r="S22" s="3">
        <f>10*LOG10((10^(Masks[[#This Row],[wire_echo]]/10))+(10^(Masks[[#This Row],[connector_echo]]/10)))</f>
        <v>-17.20024415580292</v>
      </c>
      <c r="T22" s="54"/>
      <c r="U22" s="54"/>
      <c r="W22" t="s">
        <v>133</v>
      </c>
    </row>
    <row r="23" spans="1:24" x14ac:dyDescent="0.25">
      <c r="A23" s="2">
        <v>-97.431253423297335</v>
      </c>
      <c r="B23" s="2">
        <v>-97.431253423297335</v>
      </c>
      <c r="D23">
        <f>Calculate[[#This Row],[Freq]]</f>
        <v>990000000</v>
      </c>
      <c r="E23" s="2">
        <f>MIN(-90, -89-Masks[[#This Row],[f]]/(600000000*S_ch_us),-82-Masks[[#This Row],[f]]/(250000000*S_ch_us))-K_ch_UPSD_us</f>
        <v>-93.979400086720375</v>
      </c>
      <c r="F23" s="2">
        <f>MIN(-90, -89-Masks[[#This Row],[f]]/(600000000*S_ch_ds),-82-Masks[[#This Row],[f]]/(250000000*S_ch_ds))-K_ch_UPSD_ds</f>
        <v>-93.979400086720375</v>
      </c>
      <c r="G23">
        <f>-MAX(MIN(20,20-10*LOG10(2*Masks[[#This Row],[f]]/480000000)),12-3)</f>
        <v>-13.845760471140562</v>
      </c>
      <c r="H23">
        <f>-MAX(MIN(20,20-10*LOG10(2*Masks[[#This Row],[f]]/480000000)),12-3)</f>
        <v>-13.845760471140562</v>
      </c>
      <c r="I23">
        <f>10*LOG10(POWER(10,Tx_power_us/10)/F_Nyquist_us)+IF(Masks[[#This Row],[f]]&gt;F_Nyquist_us,-50)</f>
        <v>-98.470325397914564</v>
      </c>
      <c r="J23" s="3">
        <f>10*LOG10(POWER(10,Tx_power_ds/10)/F_Nyquist_ds)+IF(Masks[[#This Row],[f]]&gt;F_Nyquist_ds,-50)</f>
        <v>-98.470325397914564</v>
      </c>
      <c r="K23" s="1">
        <f>20*LOG10(ABS(SIN(PI()*Masks[[#This Row],[f]]/Config!$B$41/2000000000)/(PI()*Masks[[#This Row],[f]]/Config!$B$41/2000000000)))+Tx_power_us-10*LOG10(F_Nyquist_us)+1.11</f>
        <v>-97.431253423297335</v>
      </c>
      <c r="L23" s="1">
        <f>20*LOG10(ABS(SIN(PI()*Masks[[#This Row],[f]]/Config!$B$41/2000000000)/(PI()*Masks[[#This Row],[f]]/Config!$B$41/2000000000)))+Tx_power_ds-10*LOG10(F_Nyquist_ds)+1.11</f>
        <v>-97.431253423297335</v>
      </c>
      <c r="M23" s="1">
        <f>10*LOG10(1/(1+(Masks[[#This Row],[f]]/Config!$B$41/1000000000)^6))+Tx_power_us-10*LOG10(F_Nyquist_us)+0.45</f>
        <v>-98.020359235436331</v>
      </c>
      <c r="N23" s="1">
        <f>10*LOG10(1/(1+(Masks[[#This Row],[f]]/Config!$C$41/1000000000)^6))+Tx_power_ds-10*LOG10(F_Nyquist_ds)+0.45</f>
        <v>-98.020359235436331</v>
      </c>
      <c r="O23" s="3">
        <f>IF(Masks[[#This Row],[f]]&gt;F_Nyquist_us,0,1)</f>
        <v>1</v>
      </c>
      <c r="P23" s="3">
        <f>IF(Masks[[#This Row],[f]]&gt;F_Nyquist_ds,0,1)</f>
        <v>1</v>
      </c>
      <c r="Q23" s="2">
        <f>Config!B$40</f>
        <v>-41.640813746660612</v>
      </c>
      <c r="R23" s="3">
        <f>IF(Config!B$8&gt;0,10*LOG10($X$1*Masks[[#This Row],[f]]+Config!B$8*0.00073),-1000)</f>
        <v>-17.04432900037521</v>
      </c>
      <c r="S23" s="3">
        <f>10*LOG10((10^(Masks[[#This Row],[wire_echo]]/10))+(10^(Masks[[#This Row],[connector_echo]]/10)))</f>
        <v>-17.029284305478225</v>
      </c>
      <c r="T23" s="54"/>
      <c r="U23" s="54"/>
      <c r="W23" t="s">
        <v>125</v>
      </c>
    </row>
    <row r="24" spans="1:24" x14ac:dyDescent="0.25">
      <c r="A24" s="2">
        <v>-97.437859780829697</v>
      </c>
      <c r="B24" s="2">
        <v>-97.437859780829697</v>
      </c>
      <c r="D24">
        <f>Calculate[[#This Row],[Freq]]</f>
        <v>1035000000</v>
      </c>
      <c r="E24" s="2">
        <f>MIN(-90, -89-Masks[[#This Row],[f]]/(600000000*S_ch_us),-82-Masks[[#This Row],[f]]/(250000000*S_ch_us))-K_ch_UPSD_us</f>
        <v>-93.979400086720375</v>
      </c>
      <c r="F24" s="2">
        <f>MIN(-90, -89-Masks[[#This Row],[f]]/(600000000*S_ch_ds),-82-Masks[[#This Row],[f]]/(250000000*S_ch_ds))-K_ch_UPSD_ds</f>
        <v>-93.979400086720375</v>
      </c>
      <c r="G24">
        <f>-MAX(MIN(20,20-10*LOG10(2*Masks[[#This Row],[f]]/480000000)),12-3)</f>
        <v>-13.652708919186693</v>
      </c>
      <c r="H24">
        <f>-MAX(MIN(20,20-10*LOG10(2*Masks[[#This Row],[f]]/480000000)),12-3)</f>
        <v>-13.652708919186693</v>
      </c>
      <c r="I24">
        <f>10*LOG10(POWER(10,Tx_power_us/10)/F_Nyquist_us)+IF(Masks[[#This Row],[f]]&gt;F_Nyquist_us,-50)</f>
        <v>-98.470325397914564</v>
      </c>
      <c r="J24" s="3">
        <f>10*LOG10(POWER(10,Tx_power_ds/10)/F_Nyquist_ds)+IF(Masks[[#This Row],[f]]&gt;F_Nyquist_ds,-50)</f>
        <v>-98.470325397914564</v>
      </c>
      <c r="K24" s="1">
        <f>20*LOG10(ABS(SIN(PI()*Masks[[#This Row],[f]]/Config!$B$41/2000000000)/(PI()*Masks[[#This Row],[f]]/Config!$B$41/2000000000)))+Tx_power_us-10*LOG10(F_Nyquist_us)+1.11</f>
        <v>-97.437859780829697</v>
      </c>
      <c r="L24" s="1">
        <f>20*LOG10(ABS(SIN(PI()*Masks[[#This Row],[f]]/Config!$B$41/2000000000)/(PI()*Masks[[#This Row],[f]]/Config!$B$41/2000000000)))+Tx_power_ds-10*LOG10(F_Nyquist_ds)+1.11</f>
        <v>-97.437859780829697</v>
      </c>
      <c r="M24" s="1">
        <f>10*LOG10(1/(1+(Masks[[#This Row],[f]]/Config!$B$41/1000000000)^6))+Tx_power_us-10*LOG10(F_Nyquist_us)+0.45</f>
        <v>-98.020369578245251</v>
      </c>
      <c r="N24" s="1">
        <f>10*LOG10(1/(1+(Masks[[#This Row],[f]]/Config!$C$41/1000000000)^6))+Tx_power_ds-10*LOG10(F_Nyquist_ds)+0.45</f>
        <v>-98.020369578245251</v>
      </c>
      <c r="O24" s="3">
        <f>IF(Masks[[#This Row],[f]]&gt;F_Nyquist_us,0,1)</f>
        <v>1</v>
      </c>
      <c r="P24" s="3">
        <f>IF(Masks[[#This Row],[f]]&gt;F_Nyquist_ds,0,1)</f>
        <v>1</v>
      </c>
      <c r="Q24" s="2">
        <f>Config!B$40</f>
        <v>-41.640813746660612</v>
      </c>
      <c r="R24" s="3">
        <f>IF(Config!B$8&gt;0,10*LOG10($X$1*Masks[[#This Row],[f]]+Config!B$8*0.00073),-1000)</f>
        <v>-16.879284786970686</v>
      </c>
      <c r="S24" s="3">
        <f>10*LOG10((10^(Masks[[#This Row],[wire_echo]]/10))+(10^(Masks[[#This Row],[connector_echo]]/10)))</f>
        <v>-16.864800171067834</v>
      </c>
      <c r="T24" s="54"/>
      <c r="U24" s="54"/>
      <c r="W24" t="s">
        <v>144</v>
      </c>
    </row>
    <row r="25" spans="1:24" x14ac:dyDescent="0.25">
      <c r="A25" s="2">
        <v>-97.44476190737204</v>
      </c>
      <c r="B25" s="2">
        <v>-97.44476190737204</v>
      </c>
      <c r="D25">
        <f>Calculate[[#This Row],[Freq]]</f>
        <v>1080000000</v>
      </c>
      <c r="E25" s="2">
        <f>MIN(-90, -89-Masks[[#This Row],[f]]/(600000000*S_ch_us),-82-Masks[[#This Row],[f]]/(250000000*S_ch_us))-K_ch_UPSD_us</f>
        <v>-93.979400086720375</v>
      </c>
      <c r="F25" s="2">
        <f>MIN(-90, -89-Masks[[#This Row],[f]]/(600000000*S_ch_ds),-82-Masks[[#This Row],[f]]/(250000000*S_ch_ds))-K_ch_UPSD_ds</f>
        <v>-93.979400086720375</v>
      </c>
      <c r="G25">
        <f>-MAX(MIN(20,20-10*LOG10(2*Masks[[#This Row],[f]]/480000000)),12-3)</f>
        <v>-13.467874862246562</v>
      </c>
      <c r="H25">
        <f>-MAX(MIN(20,20-10*LOG10(2*Masks[[#This Row],[f]]/480000000)),12-3)</f>
        <v>-13.467874862246562</v>
      </c>
      <c r="I25">
        <f>10*LOG10(POWER(10,Tx_power_us/10)/F_Nyquist_us)+IF(Masks[[#This Row],[f]]&gt;F_Nyquist_us,-50)</f>
        <v>-98.470325397914564</v>
      </c>
      <c r="J25" s="3">
        <f>10*LOG10(POWER(10,Tx_power_ds/10)/F_Nyquist_ds)+IF(Masks[[#This Row],[f]]&gt;F_Nyquist_ds,-50)</f>
        <v>-98.470325397914564</v>
      </c>
      <c r="K25" s="1">
        <f>20*LOG10(ABS(SIN(PI()*Masks[[#This Row],[f]]/Config!$B$41/2000000000)/(PI()*Masks[[#This Row],[f]]/Config!$B$41/2000000000)))+Tx_power_us-10*LOG10(F_Nyquist_us)+1.11</f>
        <v>-97.44476190737204</v>
      </c>
      <c r="L25" s="1">
        <f>20*LOG10(ABS(SIN(PI()*Masks[[#This Row],[f]]/Config!$B$41/2000000000)/(PI()*Masks[[#This Row],[f]]/Config!$B$41/2000000000)))+Tx_power_ds-10*LOG10(F_Nyquist_ds)+1.11</f>
        <v>-97.44476190737204</v>
      </c>
      <c r="M25" s="1">
        <f>10*LOG10(1/(1+(Masks[[#This Row],[f]]/Config!$B$41/1000000000)^6))+Tx_power_us-10*LOG10(F_Nyquist_us)+0.45</f>
        <v>-98.020382431247768</v>
      </c>
      <c r="N25" s="1">
        <f>10*LOG10(1/(1+(Masks[[#This Row],[f]]/Config!$C$41/1000000000)^6))+Tx_power_ds-10*LOG10(F_Nyquist_ds)+0.45</f>
        <v>-98.020382431247768</v>
      </c>
      <c r="O25" s="3">
        <f>IF(Masks[[#This Row],[f]]&gt;F_Nyquist_us,0,1)</f>
        <v>1</v>
      </c>
      <c r="P25" s="3">
        <f>IF(Masks[[#This Row],[f]]&gt;F_Nyquist_ds,0,1)</f>
        <v>1</v>
      </c>
      <c r="Q25" s="2">
        <f>Config!B$40</f>
        <v>-41.640813746660612</v>
      </c>
      <c r="R25" s="3">
        <f>IF(Config!B$8&gt;0,10*LOG10($X$1*Masks[[#This Row],[f]]+Config!B$8*0.00073),-1000)</f>
        <v>-16.720283763769896</v>
      </c>
      <c r="S25" s="3">
        <f>10*LOG10((10^(Masks[[#This Row],[wire_echo]]/10))+(10^(Masks[[#This Row],[connector_echo]]/10)))</f>
        <v>-16.706319022658015</v>
      </c>
      <c r="T25" s="54"/>
      <c r="U25" s="54"/>
      <c r="W25" s="53" t="s">
        <v>134</v>
      </c>
    </row>
    <row r="26" spans="1:24" x14ac:dyDescent="0.25">
      <c r="A26" s="2">
        <v>-97.451960085899387</v>
      </c>
      <c r="B26" s="2">
        <v>-97.451960085899387</v>
      </c>
      <c r="D26">
        <f>Calculate[[#This Row],[Freq]]</f>
        <v>1125000000</v>
      </c>
      <c r="E26" s="2">
        <f>MIN(-90, -89-Masks[[#This Row],[f]]/(600000000*S_ch_us),-82-Masks[[#This Row],[f]]/(250000000*S_ch_us))-K_ch_UPSD_us</f>
        <v>-93.979400086720375</v>
      </c>
      <c r="F26" s="2">
        <f>MIN(-90, -89-Masks[[#This Row],[f]]/(600000000*S_ch_ds),-82-Masks[[#This Row],[f]]/(250000000*S_ch_ds))-K_ch_UPSD_ds</f>
        <v>-93.979400086720375</v>
      </c>
      <c r="G26">
        <f>-MAX(MIN(20,20-10*LOG10(2*Masks[[#This Row],[f]]/480000000)),12-3)</f>
        <v>-13.290587192642247</v>
      </c>
      <c r="H26">
        <f>-MAX(MIN(20,20-10*LOG10(2*Masks[[#This Row],[f]]/480000000)),12-3)</f>
        <v>-13.290587192642247</v>
      </c>
      <c r="I26">
        <f>10*LOG10(POWER(10,Tx_power_us/10)/F_Nyquist_us)+IF(Masks[[#This Row],[f]]&gt;F_Nyquist_us,-50)</f>
        <v>-98.470325397914564</v>
      </c>
      <c r="J26" s="3">
        <f>10*LOG10(POWER(10,Tx_power_ds/10)/F_Nyquist_ds)+IF(Masks[[#This Row],[f]]&gt;F_Nyquist_ds,-50)</f>
        <v>-98.470325397914564</v>
      </c>
      <c r="K26" s="1">
        <f>20*LOG10(ABS(SIN(PI()*Masks[[#This Row],[f]]/Config!$B$41/2000000000)/(PI()*Masks[[#This Row],[f]]/Config!$B$41/2000000000)))+Tx_power_us-10*LOG10(F_Nyquist_us)+1.11</f>
        <v>-97.451960085899387</v>
      </c>
      <c r="L26" s="1">
        <f>20*LOG10(ABS(SIN(PI()*Masks[[#This Row],[f]]/Config!$B$41/2000000000)/(PI()*Masks[[#This Row],[f]]/Config!$B$41/2000000000)))+Tx_power_ds-10*LOG10(F_Nyquist_ds)+1.11</f>
        <v>-97.451960085899387</v>
      </c>
      <c r="M26" s="1">
        <f>10*LOG10(1/(1+(Masks[[#This Row],[f]]/Config!$B$41/1000000000)^6))+Tx_power_us-10*LOG10(F_Nyquist_us)+0.45</f>
        <v>-98.020398259826663</v>
      </c>
      <c r="N26" s="1">
        <f>10*LOG10(1/(1+(Masks[[#This Row],[f]]/Config!$C$41/1000000000)^6))+Tx_power_ds-10*LOG10(F_Nyquist_ds)+0.45</f>
        <v>-98.020398259826663</v>
      </c>
      <c r="O26" s="3">
        <f>IF(Masks[[#This Row],[f]]&gt;F_Nyquist_us,0,1)</f>
        <v>1</v>
      </c>
      <c r="P26" s="3">
        <f>IF(Masks[[#This Row],[f]]&gt;F_Nyquist_ds,0,1)</f>
        <v>1</v>
      </c>
      <c r="Q26" s="2">
        <f>Config!B$40</f>
        <v>-41.640813746660612</v>
      </c>
      <c r="R26" s="3">
        <f>IF(Config!B$8&gt;0,10*LOG10($X$1*Masks[[#This Row],[f]]+Config!B$8*0.00073),-1000)</f>
        <v>-16.566898968376588</v>
      </c>
      <c r="S26" s="3">
        <f>10*LOG10((10^(Masks[[#This Row],[wire_echo]]/10))+(10^(Masks[[#This Row],[connector_echo]]/10)))</f>
        <v>-16.553418076838852</v>
      </c>
      <c r="T26" s="54"/>
      <c r="U26" s="54"/>
    </row>
    <row r="27" spans="1:24" x14ac:dyDescent="0.25">
      <c r="A27" s="2">
        <v>-97.459454611885661</v>
      </c>
      <c r="B27" s="2">
        <v>-97.459454611885661</v>
      </c>
      <c r="D27">
        <f>Calculate[[#This Row],[Freq]]</f>
        <v>1170000000</v>
      </c>
      <c r="E27" s="2">
        <f>MIN(-90, -89-Masks[[#This Row],[f]]/(600000000*S_ch_us),-82-Masks[[#This Row],[f]]/(250000000*S_ch_us))-K_ch_UPSD_us</f>
        <v>-93.979400086720375</v>
      </c>
      <c r="F27" s="2">
        <f>MIN(-90, -89-Masks[[#This Row],[f]]/(600000000*S_ch_ds),-82-Masks[[#This Row],[f]]/(250000000*S_ch_ds))-K_ch_UPSD_ds</f>
        <v>-93.979400086720375</v>
      </c>
      <c r="G27">
        <f>-MAX(MIN(20,20-10*LOG10(2*Masks[[#This Row],[f]]/480000000)),12-3)</f>
        <v>-13.120253799654442</v>
      </c>
      <c r="H27">
        <f>-MAX(MIN(20,20-10*LOG10(2*Masks[[#This Row],[f]]/480000000)),12-3)</f>
        <v>-13.120253799654442</v>
      </c>
      <c r="I27">
        <f>10*LOG10(POWER(10,Tx_power_us/10)/F_Nyquist_us)+IF(Masks[[#This Row],[f]]&gt;F_Nyquist_us,-50)</f>
        <v>-98.470325397914564</v>
      </c>
      <c r="J27" s="3">
        <f>10*LOG10(POWER(10,Tx_power_ds/10)/F_Nyquist_ds)+IF(Masks[[#This Row],[f]]&gt;F_Nyquist_ds,-50)</f>
        <v>-98.470325397914564</v>
      </c>
      <c r="K27" s="1">
        <f>20*LOG10(ABS(SIN(PI()*Masks[[#This Row],[f]]/Config!$B$41/2000000000)/(PI()*Masks[[#This Row],[f]]/Config!$B$41/2000000000)))+Tx_power_us-10*LOG10(F_Nyquist_us)+1.11</f>
        <v>-97.459454611885661</v>
      </c>
      <c r="L27" s="1">
        <f>20*LOG10(ABS(SIN(PI()*Masks[[#This Row],[f]]/Config!$B$41/2000000000)/(PI()*Masks[[#This Row],[f]]/Config!$B$41/2000000000)))+Tx_power_ds-10*LOG10(F_Nyquist_ds)+1.11</f>
        <v>-97.459454611885661</v>
      </c>
      <c r="M27" s="1">
        <f>10*LOG10(1/(1+(Masks[[#This Row],[f]]/Config!$B$41/1000000000)^6))+Tx_power_us-10*LOG10(F_Nyquist_us)+0.45</f>
        <v>-98.020417591272476</v>
      </c>
      <c r="N27" s="1">
        <f>10*LOG10(1/(1+(Masks[[#This Row],[f]]/Config!$C$41/1000000000)^6))+Tx_power_ds-10*LOG10(F_Nyquist_ds)+0.45</f>
        <v>-98.020417591272476</v>
      </c>
      <c r="O27" s="3">
        <f>IF(Masks[[#This Row],[f]]&gt;F_Nyquist_us,0,1)</f>
        <v>1</v>
      </c>
      <c r="P27" s="3">
        <f>IF(Masks[[#This Row],[f]]&gt;F_Nyquist_ds,0,1)</f>
        <v>1</v>
      </c>
      <c r="Q27" s="2">
        <f>Config!B$40</f>
        <v>-41.640813746660612</v>
      </c>
      <c r="R27" s="3">
        <f>IF(Config!B$8&gt;0,10*LOG10($X$1*Masks[[#This Row],[f]]+Config!B$8*0.00073),-1000)</f>
        <v>-16.418747147233514</v>
      </c>
      <c r="S27" s="3">
        <f>10*LOG10((10^(Masks[[#This Row],[wire_echo]]/10))+(10^(Masks[[#This Row],[connector_echo]]/10)))</f>
        <v>-16.405717699260077</v>
      </c>
      <c r="T27" s="54"/>
      <c r="U27" s="54"/>
    </row>
    <row r="28" spans="1:24" x14ac:dyDescent="0.25">
      <c r="A28" s="2">
        <v>-97.467245793361968</v>
      </c>
      <c r="B28" s="2">
        <v>-97.467245793361968</v>
      </c>
      <c r="D28">
        <f>Calculate[[#This Row],[Freq]]</f>
        <v>1215000000</v>
      </c>
      <c r="E28" s="2">
        <f>MIN(-90, -89-Masks[[#This Row],[f]]/(600000000*S_ch_us),-82-Masks[[#This Row],[f]]/(250000000*S_ch_us))-K_ch_UPSD_us</f>
        <v>-93.979400086720375</v>
      </c>
      <c r="F28" s="2">
        <f>MIN(-90, -89-Masks[[#This Row],[f]]/(600000000*S_ch_ds),-82-Masks[[#This Row],[f]]/(250000000*S_ch_ds))-K_ch_UPSD_ds</f>
        <v>-93.979400086720375</v>
      </c>
      <c r="G28">
        <f>-MAX(MIN(20,20-10*LOG10(2*Masks[[#This Row],[f]]/480000000)),12-3)</f>
        <v>-12.95634963777275</v>
      </c>
      <c r="H28">
        <f>-MAX(MIN(20,20-10*LOG10(2*Masks[[#This Row],[f]]/480000000)),12-3)</f>
        <v>-12.95634963777275</v>
      </c>
      <c r="I28">
        <f>10*LOG10(POWER(10,Tx_power_us/10)/F_Nyquist_us)+IF(Masks[[#This Row],[f]]&gt;F_Nyquist_us,-50)</f>
        <v>-98.470325397914564</v>
      </c>
      <c r="J28" s="3">
        <f>10*LOG10(POWER(10,Tx_power_ds/10)/F_Nyquist_ds)+IF(Masks[[#This Row],[f]]&gt;F_Nyquist_ds,-50)</f>
        <v>-98.470325397914564</v>
      </c>
      <c r="K28" s="1">
        <f>20*LOG10(ABS(SIN(PI()*Masks[[#This Row],[f]]/Config!$B$41/2000000000)/(PI()*Masks[[#This Row],[f]]/Config!$B$41/2000000000)))+Tx_power_us-10*LOG10(F_Nyquist_us)+1.11</f>
        <v>-97.467245793361968</v>
      </c>
      <c r="L28" s="1">
        <f>20*LOG10(ABS(SIN(PI()*Masks[[#This Row],[f]]/Config!$B$41/2000000000)/(PI()*Masks[[#This Row],[f]]/Config!$B$41/2000000000)))+Tx_power_ds-10*LOG10(F_Nyquist_ds)+1.11</f>
        <v>-97.467245793361968</v>
      </c>
      <c r="M28" s="1">
        <f>10*LOG10(1/(1+(Masks[[#This Row],[f]]/Config!$B$41/1000000000)^6))+Tx_power_us-10*LOG10(F_Nyquist_us)+0.45</f>
        <v>-98.020441020042782</v>
      </c>
      <c r="N28" s="1">
        <f>10*LOG10(1/(1+(Masks[[#This Row],[f]]/Config!$C$41/1000000000)^6))+Tx_power_ds-10*LOG10(F_Nyquist_ds)+0.45</f>
        <v>-98.020441020042782</v>
      </c>
      <c r="O28" s="3">
        <f>IF(Masks[[#This Row],[f]]&gt;F_Nyquist_us,0,1)</f>
        <v>1</v>
      </c>
      <c r="P28" s="3">
        <f>IF(Masks[[#This Row],[f]]&gt;F_Nyquist_ds,0,1)</f>
        <v>1</v>
      </c>
      <c r="Q28" s="2">
        <f>Config!B$40</f>
        <v>-41.640813746660612</v>
      </c>
      <c r="R28" s="3">
        <f>IF(Config!B$8&gt;0,10*LOG10($X$1*Masks[[#This Row],[f]]+Config!B$8*0.00073),-1000)</f>
        <v>-16.27548298590634</v>
      </c>
      <c r="S28" s="3">
        <f>10*LOG10((10^(Masks[[#This Row],[wire_echo]]/10))+(10^(Masks[[#This Row],[connector_echo]]/10)))</f>
        <v>-16.262875725606733</v>
      </c>
      <c r="T28" s="54"/>
      <c r="U28" s="54"/>
      <c r="W28" s="1"/>
    </row>
    <row r="29" spans="1:24" x14ac:dyDescent="0.25">
      <c r="A29" s="2">
        <v>-97.475333950977316</v>
      </c>
      <c r="B29" s="2">
        <v>-97.475333950977316</v>
      </c>
      <c r="D29">
        <f>Calculate[[#This Row],[Freq]]</f>
        <v>1260000000</v>
      </c>
      <c r="E29" s="2">
        <f>MIN(-90, -89-Masks[[#This Row],[f]]/(600000000*S_ch_us),-82-Masks[[#This Row],[f]]/(250000000*S_ch_us))-K_ch_UPSD_us</f>
        <v>-93.979400086720375</v>
      </c>
      <c r="F29" s="2">
        <f>MIN(-90, -89-Masks[[#This Row],[f]]/(600000000*S_ch_ds),-82-Masks[[#This Row],[f]]/(250000000*S_ch_ds))-K_ch_UPSD_ds</f>
        <v>-93.979400086720375</v>
      </c>
      <c r="G29">
        <f>-MAX(MIN(20,20-10*LOG10(2*Masks[[#This Row],[f]]/480000000)),12-3)</f>
        <v>-12.79840696594043</v>
      </c>
      <c r="H29">
        <f>-MAX(MIN(20,20-10*LOG10(2*Masks[[#This Row],[f]]/480000000)),12-3)</f>
        <v>-12.79840696594043</v>
      </c>
      <c r="I29">
        <f>10*LOG10(POWER(10,Tx_power_us/10)/F_Nyquist_us)+IF(Masks[[#This Row],[f]]&gt;F_Nyquist_us,-50)</f>
        <v>-98.470325397914564</v>
      </c>
      <c r="J29" s="3">
        <f>10*LOG10(POWER(10,Tx_power_ds/10)/F_Nyquist_ds)+IF(Masks[[#This Row],[f]]&gt;F_Nyquist_ds,-50)</f>
        <v>-98.470325397914564</v>
      </c>
      <c r="K29" s="1">
        <f>20*LOG10(ABS(SIN(PI()*Masks[[#This Row],[f]]/Config!$B$41/2000000000)/(PI()*Masks[[#This Row],[f]]/Config!$B$41/2000000000)))+Tx_power_us-10*LOG10(F_Nyquist_us)+1.11</f>
        <v>-97.475333950977316</v>
      </c>
      <c r="L29" s="1">
        <f>20*LOG10(ABS(SIN(PI()*Masks[[#This Row],[f]]/Config!$B$41/2000000000)/(PI()*Masks[[#This Row],[f]]/Config!$B$41/2000000000)))+Tx_power_ds-10*LOG10(F_Nyquist_ds)+1.11</f>
        <v>-97.475333950977316</v>
      </c>
      <c r="M29" s="1">
        <f>10*LOG10(1/(1+(Masks[[#This Row],[f]]/Config!$B$41/1000000000)^6))+Tx_power_us-10*LOG10(F_Nyquist_us)+0.45</f>
        <v>-98.020469213234733</v>
      </c>
      <c r="N29" s="1">
        <f>10*LOG10(1/(1+(Masks[[#This Row],[f]]/Config!$C$41/1000000000)^6))+Tx_power_ds-10*LOG10(F_Nyquist_ds)+0.45</f>
        <v>-98.020469213234733</v>
      </c>
      <c r="O29" s="3">
        <f>IF(Masks[[#This Row],[f]]&gt;F_Nyquist_us,0,1)</f>
        <v>1</v>
      </c>
      <c r="P29" s="3">
        <f>IF(Masks[[#This Row],[f]]&gt;F_Nyquist_ds,0,1)</f>
        <v>1</v>
      </c>
      <c r="Q29" s="2">
        <f>Config!B$40</f>
        <v>-41.640813746660612</v>
      </c>
      <c r="R29" s="3">
        <f>IF(Config!B$8&gt;0,10*LOG10($X$1*Masks[[#This Row],[f]]+Config!B$8*0.00073),-1000)</f>
        <v>-16.136794261059539</v>
      </c>
      <c r="S29" s="3">
        <f>10*LOG10((10^(Masks[[#This Row],[wire_echo]]/10))+(10^(Masks[[#This Row],[connector_echo]]/10)))</f>
        <v>-16.124582687188258</v>
      </c>
      <c r="T29" s="54"/>
      <c r="U29" s="54"/>
      <c r="W29" s="93"/>
    </row>
    <row r="30" spans="1:24" x14ac:dyDescent="0.25">
      <c r="A30" s="2">
        <v>-97.483719418062108</v>
      </c>
      <c r="B30" s="2">
        <v>-97.483719418062108</v>
      </c>
      <c r="D30">
        <f>Calculate[[#This Row],[Freq]]</f>
        <v>1305000000</v>
      </c>
      <c r="E30" s="2">
        <f>MIN(-90, -89-Masks[[#This Row],[f]]/(600000000*S_ch_us),-82-Masks[[#This Row],[f]]/(250000000*S_ch_us))-K_ch_UPSD_us</f>
        <v>-93.979400086720375</v>
      </c>
      <c r="F30" s="2">
        <f>MIN(-90, -89-Masks[[#This Row],[f]]/(600000000*S_ch_ds),-82-Masks[[#This Row],[f]]/(250000000*S_ch_ds))-K_ch_UPSD_ds</f>
        <v>-93.979400086720375</v>
      </c>
      <c r="G30">
        <f>-MAX(MIN(20,20-10*LOG10(2*Masks[[#This Row],[f]]/480000000)),12-3)</f>
        <v>-12.646007300373062</v>
      </c>
      <c r="H30">
        <f>-MAX(MIN(20,20-10*LOG10(2*Masks[[#This Row],[f]]/480000000)),12-3)</f>
        <v>-12.646007300373062</v>
      </c>
      <c r="I30">
        <f>10*LOG10(POWER(10,Tx_power_us/10)/F_Nyquist_us)+IF(Masks[[#This Row],[f]]&gt;F_Nyquist_us,-50)</f>
        <v>-98.470325397914564</v>
      </c>
      <c r="J30" s="3">
        <f>10*LOG10(POWER(10,Tx_power_ds/10)/F_Nyquist_ds)+IF(Masks[[#This Row],[f]]&gt;F_Nyquist_ds,-50)</f>
        <v>-98.470325397914564</v>
      </c>
      <c r="K30" s="1">
        <f>20*LOG10(ABS(SIN(PI()*Masks[[#This Row],[f]]/Config!$B$41/2000000000)/(PI()*Masks[[#This Row],[f]]/Config!$B$41/2000000000)))+Tx_power_us-10*LOG10(F_Nyquist_us)+1.11</f>
        <v>-97.483719418062108</v>
      </c>
      <c r="L30" s="1">
        <f>20*LOG10(ABS(SIN(PI()*Masks[[#This Row],[f]]/Config!$B$41/2000000000)/(PI()*Masks[[#This Row],[f]]/Config!$B$41/2000000000)))+Tx_power_ds-10*LOG10(F_Nyquist_ds)+1.11</f>
        <v>-97.483719418062108</v>
      </c>
      <c r="M30" s="1">
        <f>10*LOG10(1/(1+(Masks[[#This Row],[f]]/Config!$B$41/1000000000)^6))+Tx_power_us-10*LOG10(F_Nyquist_us)+0.45</f>
        <v>-98.020502916270317</v>
      </c>
      <c r="N30" s="1">
        <f>10*LOG10(1/(1+(Masks[[#This Row],[f]]/Config!$C$41/1000000000)^6))+Tx_power_ds-10*LOG10(F_Nyquist_ds)+0.45</f>
        <v>-98.020502916270317</v>
      </c>
      <c r="O30" s="3">
        <f>IF(Masks[[#This Row],[f]]&gt;F_Nyquist_us,0,1)</f>
        <v>1</v>
      </c>
      <c r="P30" s="3">
        <f>IF(Masks[[#This Row],[f]]&gt;F_Nyquist_ds,0,1)</f>
        <v>1</v>
      </c>
      <c r="Q30" s="2">
        <f>Config!B$40</f>
        <v>-41.640813746660612</v>
      </c>
      <c r="R30" s="3">
        <f>IF(Config!B$8&gt;0,10*LOG10($X$1*Masks[[#This Row],[f]]+Config!B$8*0.00073),-1000)</f>
        <v>-16.002397742896342</v>
      </c>
      <c r="S30" s="3">
        <f>10*LOG10((10^(Masks[[#This Row],[wire_echo]]/10))+(10^(Masks[[#This Row],[connector_echo]]/10)))</f>
        <v>-15.990557773551057</v>
      </c>
      <c r="T30" s="54"/>
      <c r="U30" s="54"/>
      <c r="W30" s="94"/>
    </row>
    <row r="31" spans="1:24" x14ac:dyDescent="0.25">
      <c r="A31" s="2">
        <v>-97.492402540694215</v>
      </c>
      <c r="B31" s="2">
        <v>-97.492402540694215</v>
      </c>
      <c r="D31">
        <f>Calculate[[#This Row],[Freq]]</f>
        <v>1350000000</v>
      </c>
      <c r="E31" s="2">
        <f>MIN(-90, -89-Masks[[#This Row],[f]]/(600000000*S_ch_us),-82-Masks[[#This Row],[f]]/(250000000*S_ch_us))-K_ch_UPSD_us</f>
        <v>-93.979400086720375</v>
      </c>
      <c r="F31" s="2">
        <f>MIN(-90, -89-Masks[[#This Row],[f]]/(600000000*S_ch_ds),-82-Masks[[#This Row],[f]]/(250000000*S_ch_ds))-K_ch_UPSD_ds</f>
        <v>-93.979400086720375</v>
      </c>
      <c r="G31">
        <f>-MAX(MIN(20,20-10*LOG10(2*Masks[[#This Row],[f]]/480000000)),12-3)</f>
        <v>-12.498774732165998</v>
      </c>
      <c r="H31">
        <f>-MAX(MIN(20,20-10*LOG10(2*Masks[[#This Row],[f]]/480000000)),12-3)</f>
        <v>-12.498774732165998</v>
      </c>
      <c r="I31">
        <f>10*LOG10(POWER(10,Tx_power_us/10)/F_Nyquist_us)+IF(Masks[[#This Row],[f]]&gt;F_Nyquist_us,-50)</f>
        <v>-98.470325397914564</v>
      </c>
      <c r="J31" s="3">
        <f>10*LOG10(POWER(10,Tx_power_ds/10)/F_Nyquist_ds)+IF(Masks[[#This Row],[f]]&gt;F_Nyquist_ds,-50)</f>
        <v>-98.470325397914564</v>
      </c>
      <c r="K31" s="1">
        <f>20*LOG10(ABS(SIN(PI()*Masks[[#This Row],[f]]/Config!$B$41/2000000000)/(PI()*Masks[[#This Row],[f]]/Config!$B$41/2000000000)))+Tx_power_us-10*LOG10(F_Nyquist_us)+1.11</f>
        <v>-97.492402540694215</v>
      </c>
      <c r="L31" s="1">
        <f>20*LOG10(ABS(SIN(PI()*Masks[[#This Row],[f]]/Config!$B$41/2000000000)/(PI()*Masks[[#This Row],[f]]/Config!$B$41/2000000000)))+Tx_power_ds-10*LOG10(F_Nyquist_ds)+1.11</f>
        <v>-97.492402540694215</v>
      </c>
      <c r="M31" s="1">
        <f>10*LOG10(1/(1+(Masks[[#This Row],[f]]/Config!$B$41/1000000000)^6))+Tx_power_us-10*LOG10(F_Nyquist_us)+0.45</f>
        <v>-98.020542958793882</v>
      </c>
      <c r="N31" s="1">
        <f>10*LOG10(1/(1+(Masks[[#This Row],[f]]/Config!$C$41/1000000000)^6))+Tx_power_ds-10*LOG10(F_Nyquist_ds)+0.45</f>
        <v>-98.020542958793882</v>
      </c>
      <c r="O31" s="3">
        <f>IF(Masks[[#This Row],[f]]&gt;F_Nyquist_us,0,1)</f>
        <v>1</v>
      </c>
      <c r="P31" s="3">
        <f>IF(Masks[[#This Row],[f]]&gt;F_Nyquist_ds,0,1)</f>
        <v>1</v>
      </c>
      <c r="Q31" s="2">
        <f>Config!B$40</f>
        <v>-41.640813746660612</v>
      </c>
      <c r="R31" s="3">
        <f>IF(Config!B$8&gt;0,10*LOG10($X$1*Masks[[#This Row],[f]]+Config!B$8*0.00073),-1000)</f>
        <v>-15.872035712834567</v>
      </c>
      <c r="S31" s="3">
        <f>10*LOG10((10^(Masks[[#This Row],[wire_echo]]/10))+(10^(Masks[[#This Row],[connector_echo]]/10)))</f>
        <v>-15.860545399664883</v>
      </c>
      <c r="T31" s="54"/>
      <c r="U31" s="54"/>
    </row>
    <row r="32" spans="1:24" x14ac:dyDescent="0.25">
      <c r="A32" s="2">
        <v>-97.501383677767677</v>
      </c>
      <c r="B32" s="2">
        <v>-97.501383677767677</v>
      </c>
      <c r="D32">
        <f>Calculate[[#This Row],[Freq]]</f>
        <v>1395000000</v>
      </c>
      <c r="E32" s="2">
        <f>MIN(-90, -89-Masks[[#This Row],[f]]/(600000000*S_ch_us),-82-Masks[[#This Row],[f]]/(250000000*S_ch_us))-K_ch_UPSD_us</f>
        <v>-93.979400086720375</v>
      </c>
      <c r="F32" s="2">
        <f>MIN(-90, -89-Masks[[#This Row],[f]]/(600000000*S_ch_ds),-82-Masks[[#This Row],[f]]/(250000000*S_ch_ds))-K_ch_UPSD_ds</f>
        <v>-93.979400086720375</v>
      </c>
      <c r="G32">
        <f>-MAX(MIN(20,20-10*LOG10(2*Masks[[#This Row],[f]]/480000000)),12-3)</f>
        <v>-12.356370341019897</v>
      </c>
      <c r="H32">
        <f>-MAX(MIN(20,20-10*LOG10(2*Masks[[#This Row],[f]]/480000000)),12-3)</f>
        <v>-12.356370341019897</v>
      </c>
      <c r="I32">
        <f>10*LOG10(POWER(10,Tx_power_us/10)/F_Nyquist_us)+IF(Masks[[#This Row],[f]]&gt;F_Nyquist_us,-50)</f>
        <v>-98.470325397914564</v>
      </c>
      <c r="J32" s="3">
        <f>10*LOG10(POWER(10,Tx_power_ds/10)/F_Nyquist_ds)+IF(Masks[[#This Row],[f]]&gt;F_Nyquist_ds,-50)</f>
        <v>-98.470325397914564</v>
      </c>
      <c r="K32" s="1">
        <f>20*LOG10(ABS(SIN(PI()*Masks[[#This Row],[f]]/Config!$B$41/2000000000)/(PI()*Masks[[#This Row],[f]]/Config!$B$41/2000000000)))+Tx_power_us-10*LOG10(F_Nyquist_us)+1.11</f>
        <v>-97.501383677767677</v>
      </c>
      <c r="L32" s="1">
        <f>20*LOG10(ABS(SIN(PI()*Masks[[#This Row],[f]]/Config!$B$41/2000000000)/(PI()*Masks[[#This Row],[f]]/Config!$B$41/2000000000)))+Tx_power_ds-10*LOG10(F_Nyquist_ds)+1.11</f>
        <v>-97.501383677767677</v>
      </c>
      <c r="M32" s="1">
        <f>10*LOG10(1/(1+(Masks[[#This Row],[f]]/Config!$B$41/1000000000)^6))+Tx_power_us-10*LOG10(F_Nyquist_us)+0.45</f>
        <v>-98.020590260781105</v>
      </c>
      <c r="N32" s="1">
        <f>10*LOG10(1/(1+(Masks[[#This Row],[f]]/Config!$C$41/1000000000)^6))+Tx_power_ds-10*LOG10(F_Nyquist_ds)+0.45</f>
        <v>-98.020590260781105</v>
      </c>
      <c r="O32" s="3">
        <f>IF(Masks[[#This Row],[f]]&gt;F_Nyquist_us,0,1)</f>
        <v>1</v>
      </c>
      <c r="P32" s="3">
        <f>IF(Masks[[#This Row],[f]]&gt;F_Nyquist_ds,0,1)</f>
        <v>1</v>
      </c>
      <c r="Q32" s="2">
        <f>Config!B$40</f>
        <v>-41.640813746660612</v>
      </c>
      <c r="R32" s="3">
        <f>IF(Config!B$8&gt;0,10*LOG10($X$1*Masks[[#This Row],[f]]+Config!B$8*0.00073),-1000)</f>
        <v>-15.745472988791516</v>
      </c>
      <c r="S32" s="3">
        <f>10*LOG10((10^(Masks[[#This Row],[wire_echo]]/10))+(10^(Masks[[#This Row],[connector_echo]]/10)))</f>
        <v>-15.734312272197039</v>
      </c>
      <c r="T32" s="54"/>
      <c r="U32" s="54"/>
    </row>
    <row r="33" spans="1:21" x14ac:dyDescent="0.25">
      <c r="A33" s="2">
        <v>-97.510663201064176</v>
      </c>
      <c r="B33" s="2">
        <v>-97.510663201064176</v>
      </c>
      <c r="D33">
        <f>Calculate[[#This Row],[Freq]]</f>
        <v>1440000000</v>
      </c>
      <c r="E33" s="2">
        <f>MIN(-90, -89-Masks[[#This Row],[f]]/(600000000*S_ch_us),-82-Masks[[#This Row],[f]]/(250000000*S_ch_us))-K_ch_UPSD_us</f>
        <v>-93.979400086720375</v>
      </c>
      <c r="F33" s="2">
        <f>MIN(-90, -89-Masks[[#This Row],[f]]/(600000000*S_ch_ds),-82-Masks[[#This Row],[f]]/(250000000*S_ch_ds))-K_ch_UPSD_ds</f>
        <v>-93.979400086720375</v>
      </c>
      <c r="G33">
        <f>-MAX(MIN(20,20-10*LOG10(2*Masks[[#This Row],[f]]/480000000)),12-3)</f>
        <v>-12.218487496163563</v>
      </c>
      <c r="H33">
        <f>-MAX(MIN(20,20-10*LOG10(2*Masks[[#This Row],[f]]/480000000)),12-3)</f>
        <v>-12.218487496163563</v>
      </c>
      <c r="I33">
        <f>10*LOG10(POWER(10,Tx_power_us/10)/F_Nyquist_us)+IF(Masks[[#This Row],[f]]&gt;F_Nyquist_us,-50)</f>
        <v>-98.470325397914564</v>
      </c>
      <c r="J33" s="3">
        <f>10*LOG10(POWER(10,Tx_power_ds/10)/F_Nyquist_ds)+IF(Masks[[#This Row],[f]]&gt;F_Nyquist_ds,-50)</f>
        <v>-98.470325397914564</v>
      </c>
      <c r="K33" s="1">
        <f>20*LOG10(ABS(SIN(PI()*Masks[[#This Row],[f]]/Config!$B$41/2000000000)/(PI()*Masks[[#This Row],[f]]/Config!$B$41/2000000000)))+Tx_power_us-10*LOG10(F_Nyquist_us)+1.11</f>
        <v>-97.510663201064176</v>
      </c>
      <c r="L33" s="1">
        <f>20*LOG10(ABS(SIN(PI()*Masks[[#This Row],[f]]/Config!$B$41/2000000000)/(PI()*Masks[[#This Row],[f]]/Config!$B$41/2000000000)))+Tx_power_ds-10*LOG10(F_Nyquist_ds)+1.11</f>
        <v>-97.510663201064176</v>
      </c>
      <c r="M33" s="1">
        <f>10*LOG10(1/(1+(Masks[[#This Row],[f]]/Config!$B$41/1000000000)^6))+Tx_power_us-10*LOG10(F_Nyquist_us)+0.45</f>
        <v>-98.02064583885894</v>
      </c>
      <c r="N33" s="1">
        <f>10*LOG10(1/(1+(Masks[[#This Row],[f]]/Config!$C$41/1000000000)^6))+Tx_power_ds-10*LOG10(F_Nyquist_ds)+0.45</f>
        <v>-98.02064583885894</v>
      </c>
      <c r="O33" s="3">
        <f>IF(Masks[[#This Row],[f]]&gt;F_Nyquist_us,0,1)</f>
        <v>1</v>
      </c>
      <c r="P33" s="3">
        <f>IF(Masks[[#This Row],[f]]&gt;F_Nyquist_ds,0,1)</f>
        <v>1</v>
      </c>
      <c r="Q33" s="2">
        <f>Config!B$40</f>
        <v>-41.640813746660612</v>
      </c>
      <c r="R33" s="3">
        <f>IF(Config!B$8&gt;0,10*LOG10($X$1*Masks[[#This Row],[f]]+Config!B$8*0.00073),-1000)</f>
        <v>-15.622494371796121</v>
      </c>
      <c r="S33" s="3">
        <f>10*LOG10((10^(Masks[[#This Row],[wire_echo]]/10))+(10^(Masks[[#This Row],[connector_echo]]/10)))</f>
        <v>-15.611644870255976</v>
      </c>
      <c r="T33" s="54"/>
      <c r="U33" s="54"/>
    </row>
    <row r="34" spans="1:21" x14ac:dyDescent="0.25">
      <c r="A34" s="2">
        <v>-97.520241495327298</v>
      </c>
      <c r="B34" s="2">
        <v>-97.520241495327298</v>
      </c>
      <c r="D34">
        <f>Calculate[[#This Row],[Freq]]</f>
        <v>1485000000</v>
      </c>
      <c r="E34" s="2">
        <f>MIN(-90, -89-Masks[[#This Row],[f]]/(600000000*S_ch_us),-82-Masks[[#This Row],[f]]/(250000000*S_ch_us))-K_ch_UPSD_us</f>
        <v>-93.979400086720375</v>
      </c>
      <c r="F34" s="2">
        <f>MIN(-90, -89-Masks[[#This Row],[f]]/(600000000*S_ch_ds),-82-Masks[[#This Row],[f]]/(250000000*S_ch_ds))-K_ch_UPSD_ds</f>
        <v>-93.979400086720375</v>
      </c>
      <c r="G34">
        <f>-MAX(MIN(20,20-10*LOG10(2*Masks[[#This Row],[f]]/480000000)),12-3)</f>
        <v>-12.084847880583748</v>
      </c>
      <c r="H34">
        <f>-MAX(MIN(20,20-10*LOG10(2*Masks[[#This Row],[f]]/480000000)),12-3)</f>
        <v>-12.084847880583748</v>
      </c>
      <c r="I34">
        <f>10*LOG10(POWER(10,Tx_power_us/10)/F_Nyquist_us)+IF(Masks[[#This Row],[f]]&gt;F_Nyquist_us,-50)</f>
        <v>-98.470325397914564</v>
      </c>
      <c r="J34" s="3">
        <f>10*LOG10(POWER(10,Tx_power_ds/10)/F_Nyquist_ds)+IF(Masks[[#This Row],[f]]&gt;F_Nyquist_ds,-50)</f>
        <v>-98.470325397914564</v>
      </c>
      <c r="K34" s="1">
        <f>20*LOG10(ABS(SIN(PI()*Masks[[#This Row],[f]]/Config!$B$41/2000000000)/(PI()*Masks[[#This Row],[f]]/Config!$B$41/2000000000)))+Tx_power_us-10*LOG10(F_Nyquist_us)+1.11</f>
        <v>-97.520241495327298</v>
      </c>
      <c r="L34" s="1">
        <f>20*LOG10(ABS(SIN(PI()*Masks[[#This Row],[f]]/Config!$B$41/2000000000)/(PI()*Masks[[#This Row],[f]]/Config!$B$41/2000000000)))+Tx_power_ds-10*LOG10(F_Nyquist_ds)+1.11</f>
        <v>-97.520241495327298</v>
      </c>
      <c r="M34" s="1">
        <f>10*LOG10(1/(1+(Masks[[#This Row],[f]]/Config!$B$41/1000000000)^6))+Tx_power_us-10*LOG10(F_Nyquist_us)+0.45</f>
        <v>-98.020710812835219</v>
      </c>
      <c r="N34" s="1">
        <f>10*LOG10(1/(1+(Masks[[#This Row],[f]]/Config!$C$41/1000000000)^6))+Tx_power_ds-10*LOG10(F_Nyquist_ds)+0.45</f>
        <v>-98.020710812835219</v>
      </c>
      <c r="O34" s="3">
        <f>IF(Masks[[#This Row],[f]]&gt;F_Nyquist_us,0,1)</f>
        <v>1</v>
      </c>
      <c r="P34" s="3">
        <f>IF(Masks[[#This Row],[f]]&gt;F_Nyquist_ds,0,1)</f>
        <v>1</v>
      </c>
      <c r="Q34" s="2">
        <f>Config!B$40</f>
        <v>-41.640813746660612</v>
      </c>
      <c r="R34" s="3">
        <f>IF(Config!B$8&gt;0,10*LOG10($X$1*Masks[[#This Row],[f]]+Config!B$8*0.00073),-1000)</f>
        <v>-15.502902444286304</v>
      </c>
      <c r="S34" s="3">
        <f>10*LOG10((10^(Masks[[#This Row],[wire_echo]]/10))+(10^(Masks[[#This Row],[connector_echo]]/10)))</f>
        <v>-15.492347272264437</v>
      </c>
      <c r="T34" s="54"/>
      <c r="U34" s="54"/>
    </row>
    <row r="35" spans="1:21" x14ac:dyDescent="0.25">
      <c r="A35" s="2">
        <v>-97.530118958339358</v>
      </c>
      <c r="B35" s="2">
        <v>-97.530118958339358</v>
      </c>
      <c r="D35">
        <f>Calculate[[#This Row],[Freq]]</f>
        <v>1530000000</v>
      </c>
      <c r="E35" s="2">
        <f>MIN(-90, -89-Masks[[#This Row],[f]]/(600000000*S_ch_us),-82-Masks[[#This Row],[f]]/(250000000*S_ch_us))-K_ch_UPSD_us</f>
        <v>-93.999400086720371</v>
      </c>
      <c r="F35" s="2">
        <f>MIN(-90, -89-Masks[[#This Row],[f]]/(600000000*S_ch_ds),-82-Masks[[#This Row],[f]]/(250000000*S_ch_ds))-K_ch_UPSD_ds</f>
        <v>-93.999400086720371</v>
      </c>
      <c r="G35">
        <f>-MAX(MIN(20,20-10*LOG10(2*Masks[[#This Row],[f]]/480000000)),12-3)</f>
        <v>-11.955198108940072</v>
      </c>
      <c r="H35">
        <f>-MAX(MIN(20,20-10*LOG10(2*Masks[[#This Row],[f]]/480000000)),12-3)</f>
        <v>-11.955198108940072</v>
      </c>
      <c r="I35">
        <f>10*LOG10(POWER(10,Tx_power_us/10)/F_Nyquist_us)+IF(Masks[[#This Row],[f]]&gt;F_Nyquist_us,-50)</f>
        <v>-98.470325397914564</v>
      </c>
      <c r="J35" s="3">
        <f>10*LOG10(POWER(10,Tx_power_ds/10)/F_Nyquist_ds)+IF(Masks[[#This Row],[f]]&gt;F_Nyquist_ds,-50)</f>
        <v>-98.470325397914564</v>
      </c>
      <c r="K35" s="1">
        <f>20*LOG10(ABS(SIN(PI()*Masks[[#This Row],[f]]/Config!$B$41/2000000000)/(PI()*Masks[[#This Row],[f]]/Config!$B$41/2000000000)))+Tx_power_us-10*LOG10(F_Nyquist_us)+1.11</f>
        <v>-97.530118958339358</v>
      </c>
      <c r="L35" s="1">
        <f>20*LOG10(ABS(SIN(PI()*Masks[[#This Row],[f]]/Config!$B$41/2000000000)/(PI()*Masks[[#This Row],[f]]/Config!$B$41/2000000000)))+Tx_power_ds-10*LOG10(F_Nyquist_ds)+1.11</f>
        <v>-97.530118958339358</v>
      </c>
      <c r="M35" s="1">
        <f>10*LOG10(1/(1+(Masks[[#This Row],[f]]/Config!$B$41/1000000000)^6))+Tx_power_us-10*LOG10(F_Nyquist_us)+0.45</f>
        <v>-98.020786412437204</v>
      </c>
      <c r="N35" s="1">
        <f>10*LOG10(1/(1+(Masks[[#This Row],[f]]/Config!$C$41/1000000000)^6))+Tx_power_ds-10*LOG10(F_Nyquist_ds)+0.45</f>
        <v>-98.020786412437204</v>
      </c>
      <c r="O35" s="3">
        <f>IF(Masks[[#This Row],[f]]&gt;F_Nyquist_us,0,1)</f>
        <v>1</v>
      </c>
      <c r="P35" s="3">
        <f>IF(Masks[[#This Row],[f]]&gt;F_Nyquist_ds,0,1)</f>
        <v>1</v>
      </c>
      <c r="Q35" s="2">
        <f>Config!B$40</f>
        <v>-41.640813746660612</v>
      </c>
      <c r="R35" s="3">
        <f>IF(Config!B$8&gt;0,10*LOG10($X$1*Masks[[#This Row],[f]]+Config!B$8*0.00073),-1000)</f>
        <v>-15.386515663520171</v>
      </c>
      <c r="S35" s="3">
        <f>10*LOG10((10^(Masks[[#This Row],[wire_echo]]/10))+(10^(Masks[[#This Row],[connector_echo]]/10)))</f>
        <v>-15.376239273418044</v>
      </c>
      <c r="T35" s="54"/>
      <c r="U35" s="54"/>
    </row>
    <row r="36" spans="1:21" x14ac:dyDescent="0.25">
      <c r="A36" s="2">
        <v>-97.540296001001281</v>
      </c>
      <c r="B36" s="2">
        <v>-97.540296001001281</v>
      </c>
      <c r="D36">
        <f>Calculate[[#This Row],[Freq]]</f>
        <v>1575000000</v>
      </c>
      <c r="E36" s="2">
        <f>MIN(-90, -89-Masks[[#This Row],[f]]/(600000000*S_ch_us),-82-Masks[[#This Row],[f]]/(250000000*S_ch_us))-K_ch_UPSD_us</f>
        <v>-94.029400086720372</v>
      </c>
      <c r="F36" s="2">
        <f>MIN(-90, -89-Masks[[#This Row],[f]]/(600000000*S_ch_ds),-82-Masks[[#This Row],[f]]/(250000000*S_ch_ds))-K_ch_UPSD_ds</f>
        <v>-94.029400086720372</v>
      </c>
      <c r="G36">
        <f>-MAX(MIN(20,20-10*LOG10(2*Masks[[#This Row],[f]]/480000000)),12-3)</f>
        <v>-11.829306835859867</v>
      </c>
      <c r="H36">
        <f>-MAX(MIN(20,20-10*LOG10(2*Masks[[#This Row],[f]]/480000000)),12-3)</f>
        <v>-11.829306835859867</v>
      </c>
      <c r="I36">
        <f>10*LOG10(POWER(10,Tx_power_us/10)/F_Nyquist_us)+IF(Masks[[#This Row],[f]]&gt;F_Nyquist_us,-50)</f>
        <v>-98.470325397914564</v>
      </c>
      <c r="J36" s="3">
        <f>10*LOG10(POWER(10,Tx_power_ds/10)/F_Nyquist_ds)+IF(Masks[[#This Row],[f]]&gt;F_Nyquist_ds,-50)</f>
        <v>-98.470325397914564</v>
      </c>
      <c r="K36" s="1">
        <f>20*LOG10(ABS(SIN(PI()*Masks[[#This Row],[f]]/Config!$B$41/2000000000)/(PI()*Masks[[#This Row],[f]]/Config!$B$41/2000000000)))+Tx_power_us-10*LOG10(F_Nyquist_us)+1.11</f>
        <v>-97.540296001001281</v>
      </c>
      <c r="L36" s="1">
        <f>20*LOG10(ABS(SIN(PI()*Masks[[#This Row],[f]]/Config!$B$41/2000000000)/(PI()*Masks[[#This Row],[f]]/Config!$B$41/2000000000)))+Tx_power_ds-10*LOG10(F_Nyquist_ds)+1.11</f>
        <v>-97.540296001001281</v>
      </c>
      <c r="M36" s="1">
        <f>10*LOG10(1/(1+(Masks[[#This Row],[f]]/Config!$B$41/1000000000)^6))+Tx_power_us-10*LOG10(F_Nyquist_us)+0.45</f>
        <v>-98.020873984257577</v>
      </c>
      <c r="N36" s="1">
        <f>10*LOG10(1/(1+(Masks[[#This Row],[f]]/Config!$C$41/1000000000)^6))+Tx_power_ds-10*LOG10(F_Nyquist_ds)+0.45</f>
        <v>-98.020873984257577</v>
      </c>
      <c r="O36" s="3">
        <f>IF(Masks[[#This Row],[f]]&gt;F_Nyquist_us,0,1)</f>
        <v>1</v>
      </c>
      <c r="P36" s="3">
        <f>IF(Masks[[#This Row],[f]]&gt;F_Nyquist_ds,0,1)</f>
        <v>1</v>
      </c>
      <c r="Q36" s="2">
        <f>Config!B$40</f>
        <v>-41.640813746660612</v>
      </c>
      <c r="R36" s="3">
        <f>IF(Config!B$8&gt;0,10*LOG10($X$1*Masks[[#This Row],[f]]+Config!B$8*0.00073),-1000)</f>
        <v>-15.273166703869595</v>
      </c>
      <c r="S36" s="3">
        <f>10*LOG10((10^(Masks[[#This Row],[wire_echo]]/10))+(10^(Masks[[#This Row],[connector_echo]]/10)))</f>
        <v>-15.263154748313458</v>
      </c>
      <c r="T36" s="54"/>
      <c r="U36" s="54"/>
    </row>
    <row r="37" spans="1:21" x14ac:dyDescent="0.25">
      <c r="A37" s="2">
        <v>-97.550773047415191</v>
      </c>
      <c r="B37" s="2">
        <v>-97.550773047415191</v>
      </c>
      <c r="D37">
        <f>Calculate[[#This Row],[Freq]]</f>
        <v>1620000000</v>
      </c>
      <c r="E37" s="2">
        <f>MIN(-90, -89-Masks[[#This Row],[f]]/(600000000*S_ch_us),-82-Masks[[#This Row],[f]]/(250000000*S_ch_us))-K_ch_UPSD_us</f>
        <v>-94.059400086720373</v>
      </c>
      <c r="F37" s="2">
        <f>MIN(-90, -89-Masks[[#This Row],[f]]/(600000000*S_ch_ds),-82-Masks[[#This Row],[f]]/(250000000*S_ch_ds))-K_ch_UPSD_ds</f>
        <v>-94.059400086720373</v>
      </c>
      <c r="G37">
        <f>-MAX(MIN(20,20-10*LOG10(2*Masks[[#This Row],[f]]/480000000)),12-3)</f>
        <v>-11.706962271689751</v>
      </c>
      <c r="H37">
        <f>-MAX(MIN(20,20-10*LOG10(2*Masks[[#This Row],[f]]/480000000)),12-3)</f>
        <v>-11.706962271689751</v>
      </c>
      <c r="I37">
        <f>10*LOG10(POWER(10,Tx_power_us/10)/F_Nyquist_us)+IF(Masks[[#This Row],[f]]&gt;F_Nyquist_us,-50)</f>
        <v>-98.470325397914564</v>
      </c>
      <c r="J37" s="3">
        <f>10*LOG10(POWER(10,Tx_power_ds/10)/F_Nyquist_ds)+IF(Masks[[#This Row],[f]]&gt;F_Nyquist_ds,-50)</f>
        <v>-98.470325397914564</v>
      </c>
      <c r="K37" s="1">
        <f>20*LOG10(ABS(SIN(PI()*Masks[[#This Row],[f]]/Config!$B$41/2000000000)/(PI()*Masks[[#This Row],[f]]/Config!$B$41/2000000000)))+Tx_power_us-10*LOG10(F_Nyquist_us)+1.11</f>
        <v>-97.550773047415191</v>
      </c>
      <c r="L37" s="1">
        <f>20*LOG10(ABS(SIN(PI()*Masks[[#This Row],[f]]/Config!$B$41/2000000000)/(PI()*Masks[[#This Row],[f]]/Config!$B$41/2000000000)))+Tx_power_ds-10*LOG10(F_Nyquist_ds)+1.11</f>
        <v>-97.550773047415191</v>
      </c>
      <c r="M37" s="1">
        <f>10*LOG10(1/(1+(Masks[[#This Row],[f]]/Config!$B$41/1000000000)^6))+Tx_power_us-10*LOG10(F_Nyquist_us)+0.45</f>
        <v>-98.020974998906425</v>
      </c>
      <c r="N37" s="1">
        <f>10*LOG10(1/(1+(Masks[[#This Row],[f]]/Config!$C$41/1000000000)^6))+Tx_power_ds-10*LOG10(F_Nyquist_ds)+0.45</f>
        <v>-98.020974998906425</v>
      </c>
      <c r="O37" s="3">
        <f>IF(Masks[[#This Row],[f]]&gt;F_Nyquist_us,0,1)</f>
        <v>1</v>
      </c>
      <c r="P37" s="3">
        <f>IF(Masks[[#This Row],[f]]&gt;F_Nyquist_ds,0,1)</f>
        <v>1</v>
      </c>
      <c r="Q37" s="2">
        <f>Config!B$40</f>
        <v>-41.640813746660612</v>
      </c>
      <c r="R37" s="3">
        <f>IF(Config!B$8&gt;0,10*LOG10($X$1*Masks[[#This Row],[f]]+Config!B$8*0.00073),-1000)</f>
        <v>-15.162701009999761</v>
      </c>
      <c r="S37" s="3">
        <f>10*LOG10((10^(Masks[[#This Row],[wire_echo]]/10))+(10^(Masks[[#This Row],[connector_echo]]/10)))</f>
        <v>-15.152940221401757</v>
      </c>
      <c r="T37" s="54"/>
      <c r="U37" s="54"/>
    </row>
    <row r="38" spans="1:21" x14ac:dyDescent="0.25">
      <c r="A38" s="2">
        <v>-97.561550534969811</v>
      </c>
      <c r="B38" s="2">
        <v>-97.561550534969811</v>
      </c>
      <c r="D38">
        <f>Calculate[[#This Row],[Freq]]</f>
        <v>1665000000</v>
      </c>
      <c r="E38" s="2">
        <f>MIN(-90, -89-Masks[[#This Row],[f]]/(600000000*S_ch_us),-82-Masks[[#This Row],[f]]/(250000000*S_ch_us))-K_ch_UPSD_us</f>
        <v>-94.089400086720374</v>
      </c>
      <c r="F38" s="2">
        <f>MIN(-90, -89-Masks[[#This Row],[f]]/(600000000*S_ch_ds),-82-Masks[[#This Row],[f]]/(250000000*S_ch_ds))-K_ch_UPSD_ds</f>
        <v>-94.089400086720374</v>
      </c>
      <c r="G38">
        <f>-MAX(MIN(20,20-10*LOG10(2*Masks[[#This Row],[f]]/480000000)),12-3)</f>
        <v>-11.587970038692673</v>
      </c>
      <c r="H38">
        <f>-MAX(MIN(20,20-10*LOG10(2*Masks[[#This Row],[f]]/480000000)),12-3)</f>
        <v>-11.587970038692673</v>
      </c>
      <c r="I38">
        <f>10*LOG10(POWER(10,Tx_power_us/10)/F_Nyquist_us)+IF(Masks[[#This Row],[f]]&gt;F_Nyquist_us,-50)</f>
        <v>-98.470325397914564</v>
      </c>
      <c r="J38" s="3">
        <f>10*LOG10(POWER(10,Tx_power_ds/10)/F_Nyquist_ds)+IF(Masks[[#This Row],[f]]&gt;F_Nyquist_ds,-50)</f>
        <v>-98.470325397914564</v>
      </c>
      <c r="K38" s="1">
        <f>20*LOG10(ABS(SIN(PI()*Masks[[#This Row],[f]]/Config!$B$41/2000000000)/(PI()*Masks[[#This Row],[f]]/Config!$B$41/2000000000)))+Tx_power_us-10*LOG10(F_Nyquist_us)+1.11</f>
        <v>-97.561550534969811</v>
      </c>
      <c r="L38" s="1">
        <f>20*LOG10(ABS(SIN(PI()*Masks[[#This Row],[f]]/Config!$B$41/2000000000)/(PI()*Masks[[#This Row],[f]]/Config!$B$41/2000000000)))+Tx_power_ds-10*LOG10(F_Nyquist_ds)+1.11</f>
        <v>-97.561550534969811</v>
      </c>
      <c r="M38" s="1">
        <f>10*LOG10(1/(1+(Masks[[#This Row],[f]]/Config!$B$41/1000000000)^6))+Tx_power_us-10*LOG10(F_Nyquist_us)+0.45</f>
        <v>-98.021091058367588</v>
      </c>
      <c r="N38" s="1">
        <f>10*LOG10(1/(1+(Masks[[#This Row],[f]]/Config!$C$41/1000000000)^6))+Tx_power_ds-10*LOG10(F_Nyquist_ds)+0.45</f>
        <v>-98.021091058367588</v>
      </c>
      <c r="O38" s="3">
        <f>IF(Masks[[#This Row],[f]]&gt;F_Nyquist_us,0,1)</f>
        <v>1</v>
      </c>
      <c r="P38" s="3">
        <f>IF(Masks[[#This Row],[f]]&gt;F_Nyquist_ds,0,1)</f>
        <v>1</v>
      </c>
      <c r="Q38" s="2">
        <f>Config!B$40</f>
        <v>-41.640813746660612</v>
      </c>
      <c r="R38" s="3">
        <f>IF(Config!B$8&gt;0,10*LOG10($X$1*Masks[[#This Row],[f]]+Config!B$8*0.00073),-1000)</f>
        <v>-15.054975529538268</v>
      </c>
      <c r="S38" s="3">
        <f>10*LOG10((10^(Masks[[#This Row],[wire_echo]]/10))+(10^(Masks[[#This Row],[connector_echo]]/10)))</f>
        <v>-15.045453614394923</v>
      </c>
      <c r="T38" s="54"/>
      <c r="U38" s="54"/>
    </row>
    <row r="39" spans="1:21" x14ac:dyDescent="0.25">
      <c r="A39" s="2">
        <v>-97.572628914428989</v>
      </c>
      <c r="B39" s="2">
        <v>-97.572628914428989</v>
      </c>
      <c r="D39">
        <f>Calculate[[#This Row],[Freq]]</f>
        <v>1710000000</v>
      </c>
      <c r="E39" s="2">
        <f>MIN(-90, -89-Masks[[#This Row],[f]]/(600000000*S_ch_us),-82-Masks[[#This Row],[f]]/(250000000*S_ch_us))-K_ch_UPSD_us</f>
        <v>-94.119400086720375</v>
      </c>
      <c r="F39" s="2">
        <f>MIN(-90, -89-Masks[[#This Row],[f]]/(600000000*S_ch_ds),-82-Masks[[#This Row],[f]]/(250000000*S_ch_ds))-K_ch_UPSD_ds</f>
        <v>-94.119400086720375</v>
      </c>
      <c r="G39">
        <f>-MAX(MIN(20,20-10*LOG10(2*Masks[[#This Row],[f]]/480000000)),12-3)</f>
        <v>-11.472151313194521</v>
      </c>
      <c r="H39">
        <f>-MAX(MIN(20,20-10*LOG10(2*Masks[[#This Row],[f]]/480000000)),12-3)</f>
        <v>-11.472151313194521</v>
      </c>
      <c r="I39">
        <f>10*LOG10(POWER(10,Tx_power_us/10)/F_Nyquist_us)+IF(Masks[[#This Row],[f]]&gt;F_Nyquist_us,-50)</f>
        <v>-98.470325397914564</v>
      </c>
      <c r="J39" s="3">
        <f>10*LOG10(POWER(10,Tx_power_ds/10)/F_Nyquist_ds)+IF(Masks[[#This Row],[f]]&gt;F_Nyquist_ds,-50)</f>
        <v>-98.470325397914564</v>
      </c>
      <c r="K39" s="1">
        <f>20*LOG10(ABS(SIN(PI()*Masks[[#This Row],[f]]/Config!$B$41/2000000000)/(PI()*Masks[[#This Row],[f]]/Config!$B$41/2000000000)))+Tx_power_us-10*LOG10(F_Nyquist_us)+1.11</f>
        <v>-97.572628914428989</v>
      </c>
      <c r="L39" s="1">
        <f>20*LOG10(ABS(SIN(PI()*Masks[[#This Row],[f]]/Config!$B$41/2000000000)/(PI()*Masks[[#This Row],[f]]/Config!$B$41/2000000000)))+Tx_power_ds-10*LOG10(F_Nyquist_ds)+1.11</f>
        <v>-97.572628914428989</v>
      </c>
      <c r="M39" s="1">
        <f>10*LOG10(1/(1+(Masks[[#This Row],[f]]/Config!$B$41/1000000000)^6))+Tx_power_us-10*LOG10(F_Nyquist_us)+0.45</f>
        <v>-98.021223903557228</v>
      </c>
      <c r="N39" s="1">
        <f>10*LOG10(1/(1+(Masks[[#This Row],[f]]/Config!$C$41/1000000000)^6))+Tx_power_ds-10*LOG10(F_Nyquist_ds)+0.45</f>
        <v>-98.021223903557228</v>
      </c>
      <c r="O39" s="3">
        <f>IF(Masks[[#This Row],[f]]&gt;F_Nyquist_us,0,1)</f>
        <v>1</v>
      </c>
      <c r="P39" s="3">
        <f>IF(Masks[[#This Row],[f]]&gt;F_Nyquist_ds,0,1)</f>
        <v>1</v>
      </c>
      <c r="Q39" s="2">
        <f>Config!B$40</f>
        <v>-41.640813746660612</v>
      </c>
      <c r="R39" s="3">
        <f>IF(Config!B$8&gt;0,10*LOG10($X$1*Masks[[#This Row],[f]]+Config!B$8*0.00073),-1000)</f>
        <v>-14.949857599158928</v>
      </c>
      <c r="S39" s="3">
        <f>10*LOG10((10^(Masks[[#This Row],[wire_echo]]/10))+(10^(Masks[[#This Row],[connector_echo]]/10)))</f>
        <v>-14.940563144974737</v>
      </c>
      <c r="T39" s="54"/>
      <c r="U39" s="54"/>
    </row>
    <row r="40" spans="1:21" x14ac:dyDescent="0.25">
      <c r="A40" s="2">
        <v>-97.584008650022952</v>
      </c>
      <c r="B40" s="2">
        <v>-97.584008650022952</v>
      </c>
      <c r="D40">
        <f>Calculate[[#This Row],[Freq]]</f>
        <v>1755000000</v>
      </c>
      <c r="E40" s="2">
        <f>MIN(-90, -89-Masks[[#This Row],[f]]/(600000000*S_ch_us),-82-Masks[[#This Row],[f]]/(250000000*S_ch_us))-K_ch_UPSD_us</f>
        <v>-94.149400086720377</v>
      </c>
      <c r="F40" s="2">
        <f>MIN(-90, -89-Masks[[#This Row],[f]]/(600000000*S_ch_ds),-82-Masks[[#This Row],[f]]/(250000000*S_ch_ds))-K_ch_UPSD_ds</f>
        <v>-94.149400086720377</v>
      </c>
      <c r="G40">
        <f>-MAX(MIN(20,20-10*LOG10(2*Masks[[#This Row],[f]]/480000000)),12-3)</f>
        <v>-11.35934120909763</v>
      </c>
      <c r="H40">
        <f>-MAX(MIN(20,20-10*LOG10(2*Masks[[#This Row],[f]]/480000000)),12-3)</f>
        <v>-11.35934120909763</v>
      </c>
      <c r="I40">
        <f>10*LOG10(POWER(10,Tx_power_us/10)/F_Nyquist_us)+IF(Masks[[#This Row],[f]]&gt;F_Nyquist_us,-50)</f>
        <v>-98.470325397914564</v>
      </c>
      <c r="J40" s="3">
        <f>10*LOG10(POWER(10,Tx_power_ds/10)/F_Nyquist_ds)+IF(Masks[[#This Row],[f]]&gt;F_Nyquist_ds,-50)</f>
        <v>-98.470325397914564</v>
      </c>
      <c r="K40" s="1">
        <f>20*LOG10(ABS(SIN(PI()*Masks[[#This Row],[f]]/Config!$B$41/2000000000)/(PI()*Masks[[#This Row],[f]]/Config!$B$41/2000000000)))+Tx_power_us-10*LOG10(F_Nyquist_us)+1.11</f>
        <v>-97.584008650022952</v>
      </c>
      <c r="L40" s="1">
        <f>20*LOG10(ABS(SIN(PI()*Masks[[#This Row],[f]]/Config!$B$41/2000000000)/(PI()*Masks[[#This Row],[f]]/Config!$B$41/2000000000)))+Tx_power_ds-10*LOG10(F_Nyquist_ds)+1.11</f>
        <v>-97.584008650022952</v>
      </c>
      <c r="M40" s="1">
        <f>10*LOG10(1/(1+(Masks[[#This Row],[f]]/Config!$B$41/1000000000)^6))+Tx_power_us-10*LOG10(F_Nyquist_us)+0.45</f>
        <v>-98.021375422082372</v>
      </c>
      <c r="N40" s="1">
        <f>10*LOG10(1/(1+(Masks[[#This Row],[f]]/Config!$C$41/1000000000)^6))+Tx_power_ds-10*LOG10(F_Nyquist_ds)+0.45</f>
        <v>-98.021375422082372</v>
      </c>
      <c r="O40" s="3">
        <f>IF(Masks[[#This Row],[f]]&gt;F_Nyquist_us,0,1)</f>
        <v>1</v>
      </c>
      <c r="P40" s="3">
        <f>IF(Masks[[#This Row],[f]]&gt;F_Nyquist_ds,0,1)</f>
        <v>1</v>
      </c>
      <c r="Q40" s="2">
        <f>Config!B$40</f>
        <v>-41.640813746660612</v>
      </c>
      <c r="R40" s="3">
        <f>IF(Config!B$8&gt;0,10*LOG10($X$1*Masks[[#This Row],[f]]+Config!B$8*0.00073),-1000)</f>
        <v>-14.847223962320415</v>
      </c>
      <c r="S40" s="3">
        <f>10*LOG10((10^(Masks[[#This Row],[wire_echo]]/10))+(10^(Masks[[#This Row],[connector_echo]]/10)))</f>
        <v>-14.838146355389183</v>
      </c>
      <c r="T40" s="54"/>
      <c r="U40" s="54"/>
    </row>
    <row r="41" spans="1:21" x14ac:dyDescent="0.25">
      <c r="A41" s="2">
        <v>-97.595690219542689</v>
      </c>
      <c r="B41" s="2">
        <v>-97.595690219542689</v>
      </c>
      <c r="D41">
        <f>Calculate[[#This Row],[Freq]]</f>
        <v>1800000000</v>
      </c>
      <c r="E41" s="2">
        <f>MIN(-90, -89-Masks[[#This Row],[f]]/(600000000*S_ch_us),-82-Masks[[#This Row],[f]]/(250000000*S_ch_us))-K_ch_UPSD_us</f>
        <v>-94.179400086720378</v>
      </c>
      <c r="F41" s="2">
        <f>MIN(-90, -89-Masks[[#This Row],[f]]/(600000000*S_ch_ds),-82-Masks[[#This Row],[f]]/(250000000*S_ch_ds))-K_ch_UPSD_ds</f>
        <v>-94.179400086720378</v>
      </c>
      <c r="G41">
        <f>-MAX(MIN(20,20-10*LOG10(2*Masks[[#This Row],[f]]/480000000)),12-3)</f>
        <v>-11.249387366082999</v>
      </c>
      <c r="H41">
        <f>-MAX(MIN(20,20-10*LOG10(2*Masks[[#This Row],[f]]/480000000)),12-3)</f>
        <v>-11.249387366082999</v>
      </c>
      <c r="I41">
        <f>10*LOG10(POWER(10,Tx_power_us/10)/F_Nyquist_us)+IF(Masks[[#This Row],[f]]&gt;F_Nyquist_us,-50)</f>
        <v>-98.470325397914564</v>
      </c>
      <c r="J41" s="3">
        <f>10*LOG10(POWER(10,Tx_power_ds/10)/F_Nyquist_ds)+IF(Masks[[#This Row],[f]]&gt;F_Nyquist_ds,-50)</f>
        <v>-98.470325397914564</v>
      </c>
      <c r="K41" s="1">
        <f>20*LOG10(ABS(SIN(PI()*Masks[[#This Row],[f]]/Config!$B$41/2000000000)/(PI()*Masks[[#This Row],[f]]/Config!$B$41/2000000000)))+Tx_power_us-10*LOG10(F_Nyquist_us)+1.11</f>
        <v>-97.595690219542689</v>
      </c>
      <c r="L41" s="1">
        <f>20*LOG10(ABS(SIN(PI()*Masks[[#This Row],[f]]/Config!$B$41/2000000000)/(PI()*Masks[[#This Row],[f]]/Config!$B$41/2000000000)))+Tx_power_ds-10*LOG10(F_Nyquist_ds)+1.11</f>
        <v>-97.595690219542689</v>
      </c>
      <c r="M41" s="1">
        <f>10*LOG10(1/(1+(Masks[[#This Row],[f]]/Config!$B$41/1000000000)^6))+Tx_power_us-10*LOG10(F_Nyquist_us)+0.45</f>
        <v>-98.021547656196859</v>
      </c>
      <c r="N41" s="1">
        <f>10*LOG10(1/(1+(Masks[[#This Row],[f]]/Config!$C$41/1000000000)^6))+Tx_power_ds-10*LOG10(F_Nyquist_ds)+0.45</f>
        <v>-98.021547656196859</v>
      </c>
      <c r="O41" s="3">
        <f>IF(Masks[[#This Row],[f]]&gt;F_Nyquist_us,0,1)</f>
        <v>1</v>
      </c>
      <c r="P41" s="3">
        <f>IF(Masks[[#This Row],[f]]&gt;F_Nyquist_ds,0,1)</f>
        <v>1</v>
      </c>
      <c r="Q41" s="2">
        <f>Config!B$40</f>
        <v>-41.640813746660612</v>
      </c>
      <c r="R41" s="3">
        <f>IF(Config!B$8&gt;0,10*LOG10($X$1*Masks[[#This Row],[f]]+Config!B$8*0.00073),-1000)</f>
        <v>-14.746959900417611</v>
      </c>
      <c r="S41" s="3">
        <f>10*LOG10((10^(Masks[[#This Row],[wire_echo]]/10))+(10^(Masks[[#This Row],[connector_echo]]/10)))</f>
        <v>-14.738089252976284</v>
      </c>
      <c r="T41" s="54"/>
      <c r="U41" s="54"/>
    </row>
    <row r="42" spans="1:21" x14ac:dyDescent="0.25">
      <c r="A42" s="2">
        <v>-97.607674114437401</v>
      </c>
      <c r="B42" s="2">
        <v>-97.607674114437401</v>
      </c>
      <c r="D42">
        <f>Calculate[[#This Row],[Freq]]</f>
        <v>1845000000</v>
      </c>
      <c r="E42" s="2">
        <f>MIN(-90, -89-Masks[[#This Row],[f]]/(600000000*S_ch_us),-82-Masks[[#This Row],[f]]/(250000000*S_ch_us))-K_ch_UPSD_us</f>
        <v>-94.209400086720379</v>
      </c>
      <c r="F42" s="2">
        <f>MIN(-90, -89-Masks[[#This Row],[f]]/(600000000*S_ch_ds),-82-Masks[[#This Row],[f]]/(250000000*S_ch_ds))-K_ch_UPSD_ds</f>
        <v>-94.209400086720379</v>
      </c>
      <c r="G42">
        <f>-MAX(MIN(20,20-10*LOG10(2*Masks[[#This Row],[f]]/480000000)),12-3)</f>
        <v>-11.142148712165268</v>
      </c>
      <c r="H42">
        <f>-MAX(MIN(20,20-10*LOG10(2*Masks[[#This Row],[f]]/480000000)),12-3)</f>
        <v>-11.142148712165268</v>
      </c>
      <c r="I42">
        <f>10*LOG10(POWER(10,Tx_power_us/10)/F_Nyquist_us)+IF(Masks[[#This Row],[f]]&gt;F_Nyquist_us,-50)</f>
        <v>-98.470325397914564</v>
      </c>
      <c r="J42" s="3">
        <f>10*LOG10(POWER(10,Tx_power_ds/10)/F_Nyquist_ds)+IF(Masks[[#This Row],[f]]&gt;F_Nyquist_ds,-50)</f>
        <v>-98.470325397914564</v>
      </c>
      <c r="K42" s="1">
        <f>20*LOG10(ABS(SIN(PI()*Masks[[#This Row],[f]]/Config!$B$41/2000000000)/(PI()*Masks[[#This Row],[f]]/Config!$B$41/2000000000)))+Tx_power_us-10*LOG10(F_Nyquist_us)+1.11</f>
        <v>-97.607674114437401</v>
      </c>
      <c r="L42" s="1">
        <f>20*LOG10(ABS(SIN(PI()*Masks[[#This Row],[f]]/Config!$B$41/2000000000)/(PI()*Masks[[#This Row],[f]]/Config!$B$41/2000000000)))+Tx_power_ds-10*LOG10(F_Nyquist_ds)+1.11</f>
        <v>-97.607674114437401</v>
      </c>
      <c r="M42" s="1">
        <f>10*LOG10(1/(1+(Masks[[#This Row],[f]]/Config!$B$41/1000000000)^6))+Tx_power_us-10*LOG10(F_Nyquist_us)+0.45</f>
        <v>-98.021742810951466</v>
      </c>
      <c r="N42" s="1">
        <f>10*LOG10(1/(1+(Masks[[#This Row],[f]]/Config!$C$41/1000000000)^6))+Tx_power_ds-10*LOG10(F_Nyquist_ds)+0.45</f>
        <v>-98.021742810951466</v>
      </c>
      <c r="O42" s="3">
        <f>IF(Masks[[#This Row],[f]]&gt;F_Nyquist_us,0,1)</f>
        <v>1</v>
      </c>
      <c r="P42" s="3">
        <f>IF(Masks[[#This Row],[f]]&gt;F_Nyquist_ds,0,1)</f>
        <v>1</v>
      </c>
      <c r="Q42" s="2">
        <f>Config!B$40</f>
        <v>-41.640813746660612</v>
      </c>
      <c r="R42" s="3">
        <f>IF(Config!B$8&gt;0,10*LOG10($X$1*Masks[[#This Row],[f]]+Config!B$8*0.00073),-1000)</f>
        <v>-14.648958461986064</v>
      </c>
      <c r="S42" s="3">
        <f>10*LOG10((10^(Masks[[#This Row],[wire_echo]]/10))+(10^(Masks[[#This Row],[connector_echo]]/10)))</f>
        <v>-14.640285547487544</v>
      </c>
      <c r="T42" s="54"/>
      <c r="U42" s="54"/>
    </row>
    <row r="43" spans="1:21" x14ac:dyDescent="0.25">
      <c r="A43" s="2">
        <v>-97.619960839914896</v>
      </c>
      <c r="B43" s="2">
        <v>-97.619960839914896</v>
      </c>
      <c r="D43">
        <f>Calculate[[#This Row],[Freq]]</f>
        <v>1890000000</v>
      </c>
      <c r="E43" s="2">
        <f>MIN(-90, -89-Masks[[#This Row],[f]]/(600000000*S_ch_us),-82-Masks[[#This Row],[f]]/(250000000*S_ch_us))-K_ch_UPSD_us</f>
        <v>-94.23940008672038</v>
      </c>
      <c r="F43" s="2">
        <f>MIN(-90, -89-Masks[[#This Row],[f]]/(600000000*S_ch_ds),-82-Masks[[#This Row],[f]]/(250000000*S_ch_ds))-K_ch_UPSD_ds</f>
        <v>-94.23940008672038</v>
      </c>
      <c r="G43">
        <f>-MAX(MIN(20,20-10*LOG10(2*Masks[[#This Row],[f]]/480000000)),12-3)</f>
        <v>-11.037494375383618</v>
      </c>
      <c r="H43">
        <f>-MAX(MIN(20,20-10*LOG10(2*Masks[[#This Row],[f]]/480000000)),12-3)</f>
        <v>-11.037494375383618</v>
      </c>
      <c r="I43">
        <f>10*LOG10(POWER(10,Tx_power_us/10)/F_Nyquist_us)+IF(Masks[[#This Row],[f]]&gt;F_Nyquist_us,-50)</f>
        <v>-98.470325397914564</v>
      </c>
      <c r="J43" s="3">
        <f>10*LOG10(POWER(10,Tx_power_ds/10)/F_Nyquist_ds)+IF(Masks[[#This Row],[f]]&gt;F_Nyquist_ds,-50)</f>
        <v>-98.470325397914564</v>
      </c>
      <c r="K43" s="1">
        <f>20*LOG10(ABS(SIN(PI()*Masks[[#This Row],[f]]/Config!$B$41/2000000000)/(PI()*Masks[[#This Row],[f]]/Config!$B$41/2000000000)))+Tx_power_us-10*LOG10(F_Nyquist_us)+1.11</f>
        <v>-97.619960839914896</v>
      </c>
      <c r="L43" s="1">
        <f>20*LOG10(ABS(SIN(PI()*Masks[[#This Row],[f]]/Config!$B$41/2000000000)/(PI()*Masks[[#This Row],[f]]/Config!$B$41/2000000000)))+Tx_power_ds-10*LOG10(F_Nyquist_ds)+1.11</f>
        <v>-97.619960839914896</v>
      </c>
      <c r="M43" s="1">
        <f>10*LOG10(1/(1+(Masks[[#This Row],[f]]/Config!$B$41/1000000000)^6))+Tx_power_us-10*LOG10(F_Nyquist_us)+0.45</f>
        <v>-98.021963262534939</v>
      </c>
      <c r="N43" s="1">
        <f>10*LOG10(1/(1+(Masks[[#This Row],[f]]/Config!$C$41/1000000000)^6))+Tx_power_ds-10*LOG10(F_Nyquist_ds)+0.45</f>
        <v>-98.021963262534939</v>
      </c>
      <c r="O43" s="3">
        <f>IF(Masks[[#This Row],[f]]&gt;F_Nyquist_us,0,1)</f>
        <v>1</v>
      </c>
      <c r="P43" s="3">
        <f>IF(Masks[[#This Row],[f]]&gt;F_Nyquist_ds,0,1)</f>
        <v>1</v>
      </c>
      <c r="Q43" s="2">
        <f>Config!B$40</f>
        <v>-41.640813746660612</v>
      </c>
      <c r="R43" s="3">
        <f>IF(Config!B$8&gt;0,10*LOG10($X$1*Masks[[#This Row],[f]]+Config!B$8*0.00073),-1000)</f>
        <v>-14.553119776973224</v>
      </c>
      <c r="S43" s="3">
        <f>10*LOG10((10^(Masks[[#This Row],[wire_echo]]/10))+(10^(Masks[[#This Row],[connector_echo]]/10)))</f>
        <v>-14.544635972415946</v>
      </c>
      <c r="T43" s="54"/>
      <c r="U43" s="54"/>
    </row>
    <row r="44" spans="1:21" x14ac:dyDescent="0.25">
      <c r="A44" s="2">
        <v>-97.632550915045258</v>
      </c>
      <c r="B44" s="2">
        <v>-97.632550915045258</v>
      </c>
      <c r="D44">
        <f>Calculate[[#This Row],[Freq]]</f>
        <v>1935000000</v>
      </c>
      <c r="E44" s="2">
        <f>MIN(-90, -89-Masks[[#This Row],[f]]/(600000000*S_ch_us),-82-Masks[[#This Row],[f]]/(250000000*S_ch_us))-K_ch_UPSD_us</f>
        <v>-94.269400086720381</v>
      </c>
      <c r="F44" s="2">
        <f>MIN(-90, -89-Masks[[#This Row],[f]]/(600000000*S_ch_ds),-82-Masks[[#This Row],[f]]/(250000000*S_ch_ds))-K_ch_UPSD_ds</f>
        <v>-94.269400086720381</v>
      </c>
      <c r="G44">
        <f>-MAX(MIN(20,20-10*LOG10(2*Masks[[#This Row],[f]]/480000000)),12-3)</f>
        <v>-10.935302723566757</v>
      </c>
      <c r="H44">
        <f>-MAX(MIN(20,20-10*LOG10(2*Masks[[#This Row],[f]]/480000000)),12-3)</f>
        <v>-10.935302723566757</v>
      </c>
      <c r="I44">
        <f>10*LOG10(POWER(10,Tx_power_us/10)/F_Nyquist_us)+IF(Masks[[#This Row],[f]]&gt;F_Nyquist_us,-50)</f>
        <v>-98.470325397914564</v>
      </c>
      <c r="J44" s="3">
        <f>10*LOG10(POWER(10,Tx_power_ds/10)/F_Nyquist_ds)+IF(Masks[[#This Row],[f]]&gt;F_Nyquist_ds,-50)</f>
        <v>-98.470325397914564</v>
      </c>
      <c r="K44" s="1">
        <f>20*LOG10(ABS(SIN(PI()*Masks[[#This Row],[f]]/Config!$B$41/2000000000)/(PI()*Masks[[#This Row],[f]]/Config!$B$41/2000000000)))+Tx_power_us-10*LOG10(F_Nyquist_us)+1.11</f>
        <v>-97.632550915045258</v>
      </c>
      <c r="L44" s="1">
        <f>20*LOG10(ABS(SIN(PI()*Masks[[#This Row],[f]]/Config!$B$41/2000000000)/(PI()*Masks[[#This Row],[f]]/Config!$B$41/2000000000)))+Tx_power_ds-10*LOG10(F_Nyquist_ds)+1.11</f>
        <v>-97.632550915045258</v>
      </c>
      <c r="M44" s="1">
        <f>10*LOG10(1/(1+(Masks[[#This Row],[f]]/Config!$B$41/1000000000)^6))+Tx_power_us-10*LOG10(F_Nyquist_us)+0.45</f>
        <v>-98.022211566801928</v>
      </c>
      <c r="N44" s="1">
        <f>10*LOG10(1/(1+(Masks[[#This Row],[f]]/Config!$C$41/1000000000)^6))+Tx_power_ds-10*LOG10(F_Nyquist_ds)+0.45</f>
        <v>-98.022211566801928</v>
      </c>
      <c r="O44" s="3">
        <f>IF(Masks[[#This Row],[f]]&gt;F_Nyquist_us,0,1)</f>
        <v>1</v>
      </c>
      <c r="P44" s="3">
        <f>IF(Masks[[#This Row],[f]]&gt;F_Nyquist_ds,0,1)</f>
        <v>1</v>
      </c>
      <c r="Q44" s="2">
        <f>Config!B$40</f>
        <v>-41.640813746660612</v>
      </c>
      <c r="R44" s="3">
        <f>IF(Config!B$8&gt;0,10*LOG10($X$1*Masks[[#This Row],[f]]+Config!B$8*0.00073),-1000)</f>
        <v>-14.459350445053595</v>
      </c>
      <c r="S44" s="3">
        <f>10*LOG10((10^(Masks[[#This Row],[wire_echo]]/10))+(10^(Masks[[#This Row],[connector_echo]]/10)))</f>
        <v>-14.451047679464386</v>
      </c>
      <c r="T44" s="54"/>
      <c r="U44" s="54"/>
    </row>
    <row r="45" spans="1:21" x14ac:dyDescent="0.25">
      <c r="A45" s="2">
        <v>-97.6454448728676</v>
      </c>
      <c r="B45" s="2">
        <v>-97.6454448728676</v>
      </c>
      <c r="D45">
        <f>Calculate[[#This Row],[Freq]]</f>
        <v>1980000000</v>
      </c>
      <c r="E45" s="2">
        <f>MIN(-90, -89-Masks[[#This Row],[f]]/(600000000*S_ch_us),-82-Masks[[#This Row],[f]]/(250000000*S_ch_us))-K_ch_UPSD_us</f>
        <v>-94.299400086720368</v>
      </c>
      <c r="F45" s="2">
        <f>MIN(-90, -89-Masks[[#This Row],[f]]/(600000000*S_ch_ds),-82-Masks[[#This Row],[f]]/(250000000*S_ch_ds))-K_ch_UPSD_ds</f>
        <v>-94.299400086720368</v>
      </c>
      <c r="G45">
        <f>-MAX(MIN(20,20-10*LOG10(2*Masks[[#This Row],[f]]/480000000)),12-3)</f>
        <v>-10.835460514500749</v>
      </c>
      <c r="H45">
        <f>-MAX(MIN(20,20-10*LOG10(2*Masks[[#This Row],[f]]/480000000)),12-3)</f>
        <v>-10.835460514500749</v>
      </c>
      <c r="I45">
        <f>10*LOG10(POWER(10,Tx_power_us/10)/F_Nyquist_us)+IF(Masks[[#This Row],[f]]&gt;F_Nyquist_us,-50)</f>
        <v>-98.470325397914564</v>
      </c>
      <c r="J45" s="3">
        <f>10*LOG10(POWER(10,Tx_power_ds/10)/F_Nyquist_ds)+IF(Masks[[#This Row],[f]]&gt;F_Nyquist_ds,-50)</f>
        <v>-98.470325397914564</v>
      </c>
      <c r="K45" s="1">
        <f>20*LOG10(ABS(SIN(PI()*Masks[[#This Row],[f]]/Config!$B$41/2000000000)/(PI()*Masks[[#This Row],[f]]/Config!$B$41/2000000000)))+Tx_power_us-10*LOG10(F_Nyquist_us)+1.11</f>
        <v>-97.6454448728676</v>
      </c>
      <c r="L45" s="1">
        <f>20*LOG10(ABS(SIN(PI()*Masks[[#This Row],[f]]/Config!$B$41/2000000000)/(PI()*Masks[[#This Row],[f]]/Config!$B$41/2000000000)))+Tx_power_ds-10*LOG10(F_Nyquist_ds)+1.11</f>
        <v>-97.6454448728676</v>
      </c>
      <c r="M45" s="1">
        <f>10*LOG10(1/(1+(Masks[[#This Row],[f]]/Config!$B$41/1000000000)^6))+Tx_power_us-10*LOG10(F_Nyquist_us)+0.45</f>
        <v>-98.022490467983374</v>
      </c>
      <c r="N45" s="1">
        <f>10*LOG10(1/(1+(Masks[[#This Row],[f]]/Config!$C$41/1000000000)^6))+Tx_power_ds-10*LOG10(F_Nyquist_ds)+0.45</f>
        <v>-98.022490467983374</v>
      </c>
      <c r="O45" s="3">
        <f>IF(Masks[[#This Row],[f]]&gt;F_Nyquist_us,0,1)</f>
        <v>1</v>
      </c>
      <c r="P45" s="3">
        <f>IF(Masks[[#This Row],[f]]&gt;F_Nyquist_ds,0,1)</f>
        <v>1</v>
      </c>
      <c r="Q45" s="2">
        <f>Config!B$40</f>
        <v>-41.640813746660612</v>
      </c>
      <c r="R45" s="3">
        <f>IF(Config!B$8&gt;0,10*LOG10($X$1*Masks[[#This Row],[f]]+Config!B$8*0.00073),-1000)</f>
        <v>-14.367562988596021</v>
      </c>
      <c r="S45" s="3">
        <f>10*LOG10((10^(Masks[[#This Row],[wire_echo]]/10))+(10^(Masks[[#This Row],[connector_echo]]/10)))</f>
        <v>-14.359433696894811</v>
      </c>
      <c r="T45" s="54"/>
      <c r="U45" s="54"/>
    </row>
    <row r="46" spans="1:21" x14ac:dyDescent="0.25">
      <c r="A46" s="2">
        <v>-97.658643260500114</v>
      </c>
      <c r="B46" s="2">
        <v>-97.658643260500114</v>
      </c>
      <c r="D46">
        <f>Calculate[[#This Row],[Freq]]</f>
        <v>2025000000</v>
      </c>
      <c r="E46" s="2">
        <f>MIN(-90, -89-Masks[[#This Row],[f]]/(600000000*S_ch_us),-82-Masks[[#This Row],[f]]/(250000000*S_ch_us))-K_ch_UPSD_us</f>
        <v>-94.329400086720369</v>
      </c>
      <c r="F46" s="2">
        <f>MIN(-90, -89-Masks[[#This Row],[f]]/(600000000*S_ch_ds),-82-Masks[[#This Row],[f]]/(250000000*S_ch_ds))-K_ch_UPSD_ds</f>
        <v>-94.329400086720369</v>
      </c>
      <c r="G46">
        <f>-MAX(MIN(20,20-10*LOG10(2*Masks[[#This Row],[f]]/480000000)),12-3)</f>
        <v>-10.737862141609186</v>
      </c>
      <c r="H46">
        <f>-MAX(MIN(20,20-10*LOG10(2*Masks[[#This Row],[f]]/480000000)),12-3)</f>
        <v>-10.737862141609186</v>
      </c>
      <c r="I46">
        <f>10*LOG10(POWER(10,Tx_power_us/10)/F_Nyquist_us)+IF(Masks[[#This Row],[f]]&gt;F_Nyquist_us,-50)</f>
        <v>-98.470325397914564</v>
      </c>
      <c r="J46" s="3">
        <f>10*LOG10(POWER(10,Tx_power_ds/10)/F_Nyquist_ds)+IF(Masks[[#This Row],[f]]&gt;F_Nyquist_ds,-50)</f>
        <v>-98.470325397914564</v>
      </c>
      <c r="K46" s="1">
        <f>20*LOG10(ABS(SIN(PI()*Masks[[#This Row],[f]]/Config!$B$41/2000000000)/(PI()*Masks[[#This Row],[f]]/Config!$B$41/2000000000)))+Tx_power_us-10*LOG10(F_Nyquist_us)+1.11</f>
        <v>-97.658643260500114</v>
      </c>
      <c r="L46" s="1">
        <f>20*LOG10(ABS(SIN(PI()*Masks[[#This Row],[f]]/Config!$B$41/2000000000)/(PI()*Masks[[#This Row],[f]]/Config!$B$41/2000000000)))+Tx_power_ds-10*LOG10(F_Nyquist_ds)+1.11</f>
        <v>-97.658643260500114</v>
      </c>
      <c r="M46" s="1">
        <f>10*LOG10(1/(1+(Masks[[#This Row],[f]]/Config!$B$41/1000000000)^6))+Tx_power_us-10*LOG10(F_Nyquist_us)+0.45</f>
        <v>-98.02280290757443</v>
      </c>
      <c r="N46" s="1">
        <f>10*LOG10(1/(1+(Masks[[#This Row],[f]]/Config!$C$41/1000000000)^6))+Tx_power_ds-10*LOG10(F_Nyquist_ds)+0.45</f>
        <v>-98.02280290757443</v>
      </c>
      <c r="O46" s="3">
        <f>IF(Masks[[#This Row],[f]]&gt;F_Nyquist_us,0,1)</f>
        <v>1</v>
      </c>
      <c r="P46" s="3">
        <f>IF(Masks[[#This Row],[f]]&gt;F_Nyquist_ds,0,1)</f>
        <v>1</v>
      </c>
      <c r="Q46" s="2">
        <f>Config!B$40</f>
        <v>-41.640813746660612</v>
      </c>
      <c r="R46" s="3">
        <f>IF(Config!B$8&gt;0,10*LOG10($X$1*Masks[[#This Row],[f]]+Config!B$8*0.00073),-1000)</f>
        <v>-14.277675362252545</v>
      </c>
      <c r="S46" s="3">
        <f>10*LOG10((10^(Masks[[#This Row],[wire_echo]]/10))+(10^(Masks[[#This Row],[connector_echo]]/10)))</f>
        <v>-14.269712443838099</v>
      </c>
      <c r="T46" s="54"/>
      <c r="U46" s="54"/>
    </row>
    <row r="47" spans="1:21" x14ac:dyDescent="0.25">
      <c r="A47" s="2">
        <v>-97.672146639253342</v>
      </c>
      <c r="B47" s="2">
        <v>-97.672146639253342</v>
      </c>
      <c r="D47">
        <f>Calculate[[#This Row],[Freq]]</f>
        <v>2070000000</v>
      </c>
      <c r="E47" s="2">
        <f>MIN(-90, -89-Masks[[#This Row],[f]]/(600000000*S_ch_us),-82-Masks[[#This Row],[f]]/(250000000*S_ch_us))-K_ch_UPSD_us</f>
        <v>-94.35940008672037</v>
      </c>
      <c r="F47" s="2">
        <f>MIN(-90, -89-Masks[[#This Row],[f]]/(600000000*S_ch_ds),-82-Masks[[#This Row],[f]]/(250000000*S_ch_ds))-K_ch_UPSD_ds</f>
        <v>-94.35940008672037</v>
      </c>
      <c r="G47">
        <f>-MAX(MIN(20,20-10*LOG10(2*Masks[[#This Row],[f]]/480000000)),12-3)</f>
        <v>-10.642408962546883</v>
      </c>
      <c r="H47">
        <f>-MAX(MIN(20,20-10*LOG10(2*Masks[[#This Row],[f]]/480000000)),12-3)</f>
        <v>-10.642408962546883</v>
      </c>
      <c r="I47">
        <f>10*LOG10(POWER(10,Tx_power_us/10)/F_Nyquist_us)+IF(Masks[[#This Row],[f]]&gt;F_Nyquist_us,-50)</f>
        <v>-98.470325397914564</v>
      </c>
      <c r="J47" s="3">
        <f>10*LOG10(POWER(10,Tx_power_ds/10)/F_Nyquist_ds)+IF(Masks[[#This Row],[f]]&gt;F_Nyquist_ds,-50)</f>
        <v>-98.470325397914564</v>
      </c>
      <c r="K47" s="1">
        <f>20*LOG10(ABS(SIN(PI()*Masks[[#This Row],[f]]/Config!$B$41/2000000000)/(PI()*Masks[[#This Row],[f]]/Config!$B$41/2000000000)))+Tx_power_us-10*LOG10(F_Nyquist_us)+1.11</f>
        <v>-97.672146639253342</v>
      </c>
      <c r="L47" s="1">
        <f>20*LOG10(ABS(SIN(PI()*Masks[[#This Row],[f]]/Config!$B$41/2000000000)/(PI()*Masks[[#This Row],[f]]/Config!$B$41/2000000000)))+Tx_power_ds-10*LOG10(F_Nyquist_ds)+1.11</f>
        <v>-97.672146639253342</v>
      </c>
      <c r="M47" s="1">
        <f>10*LOG10(1/(1+(Masks[[#This Row],[f]]/Config!$B$41/1000000000)^6))+Tx_power_us-10*LOG10(F_Nyquist_us)+0.45</f>
        <v>-98.023152033394055</v>
      </c>
      <c r="N47" s="1">
        <f>10*LOG10(1/(1+(Masks[[#This Row],[f]]/Config!$C$41/1000000000)^6))+Tx_power_ds-10*LOG10(F_Nyquist_ds)+0.45</f>
        <v>-98.023152033394055</v>
      </c>
      <c r="O47" s="3">
        <f>IF(Masks[[#This Row],[f]]&gt;F_Nyquist_us,0,1)</f>
        <v>1</v>
      </c>
      <c r="P47" s="3">
        <f>IF(Masks[[#This Row],[f]]&gt;F_Nyquist_ds,0,1)</f>
        <v>1</v>
      </c>
      <c r="Q47" s="2">
        <f>Config!B$40</f>
        <v>-41.640813746660612</v>
      </c>
      <c r="R47" s="3">
        <f>IF(Config!B$8&gt;0,10*LOG10($X$1*Masks[[#This Row],[f]]+Config!B$8*0.00073),-1000)</f>
        <v>-14.189610512278328</v>
      </c>
      <c r="S47" s="3">
        <f>10*LOG10((10^(Masks[[#This Row],[wire_echo]]/10))+(10^(Masks[[#This Row],[connector_echo]]/10)))</f>
        <v>-14.181807293766887</v>
      </c>
      <c r="T47" s="54"/>
      <c r="U47" s="54"/>
    </row>
    <row r="48" spans="1:21" x14ac:dyDescent="0.25">
      <c r="A48" s="2">
        <v>-97.68595558474685</v>
      </c>
      <c r="B48" s="2">
        <v>-97.68595558474685</v>
      </c>
      <c r="D48">
        <f>Calculate[[#This Row],[Freq]]</f>
        <v>2115000000</v>
      </c>
      <c r="E48" s="2">
        <f>MIN(-90, -89-Masks[[#This Row],[f]]/(600000000*S_ch_us),-82-Masks[[#This Row],[f]]/(250000000*S_ch_us))-K_ch_UPSD_us</f>
        <v>-94.389400086720372</v>
      </c>
      <c r="F48" s="2">
        <f>MIN(-90, -89-Masks[[#This Row],[f]]/(600000000*S_ch_ds),-82-Masks[[#This Row],[f]]/(250000000*S_ch_ds))-K_ch_UPSD_ds</f>
        <v>-94.389400086720372</v>
      </c>
      <c r="G48">
        <f>-MAX(MIN(20,20-10*LOG10(2*Masks[[#This Row],[f]]/480000000)),12-3)</f>
        <v>-10.549008700005448</v>
      </c>
      <c r="H48">
        <f>-MAX(MIN(20,20-10*LOG10(2*Masks[[#This Row],[f]]/480000000)),12-3)</f>
        <v>-10.549008700005448</v>
      </c>
      <c r="I48">
        <f>10*LOG10(POWER(10,Tx_power_us/10)/F_Nyquist_us)+IF(Masks[[#This Row],[f]]&gt;F_Nyquist_us,-50)</f>
        <v>-98.470325397914564</v>
      </c>
      <c r="J48" s="3">
        <f>10*LOG10(POWER(10,Tx_power_ds/10)/F_Nyquist_ds)+IF(Masks[[#This Row],[f]]&gt;F_Nyquist_ds,-50)</f>
        <v>-98.470325397914564</v>
      </c>
      <c r="K48" s="1">
        <f>20*LOG10(ABS(SIN(PI()*Masks[[#This Row],[f]]/Config!$B$41/2000000000)/(PI()*Masks[[#This Row],[f]]/Config!$B$41/2000000000)))+Tx_power_us-10*LOG10(F_Nyquist_us)+1.11</f>
        <v>-97.68595558474685</v>
      </c>
      <c r="L48" s="1">
        <f>20*LOG10(ABS(SIN(PI()*Masks[[#This Row],[f]]/Config!$B$41/2000000000)/(PI()*Masks[[#This Row],[f]]/Config!$B$41/2000000000)))+Tx_power_ds-10*LOG10(F_Nyquist_ds)+1.11</f>
        <v>-97.68595558474685</v>
      </c>
      <c r="M48" s="1">
        <f>10*LOG10(1/(1+(Masks[[#This Row],[f]]/Config!$B$41/1000000000)^6))+Tx_power_us-10*LOG10(F_Nyquist_us)+0.45</f>
        <v>-98.023541208810371</v>
      </c>
      <c r="N48" s="1">
        <f>10*LOG10(1/(1+(Masks[[#This Row],[f]]/Config!$C$41/1000000000)^6))+Tx_power_ds-10*LOG10(F_Nyquist_ds)+0.45</f>
        <v>-98.023541208810371</v>
      </c>
      <c r="O48" s="3">
        <f>IF(Masks[[#This Row],[f]]&gt;F_Nyquist_us,0,1)</f>
        <v>1</v>
      </c>
      <c r="P48" s="3">
        <f>IF(Masks[[#This Row],[f]]&gt;F_Nyquist_ds,0,1)</f>
        <v>1</v>
      </c>
      <c r="Q48" s="2">
        <f>Config!B$40</f>
        <v>-41.640813746660612</v>
      </c>
      <c r="R48" s="3">
        <f>IF(Config!B$8&gt;0,10*LOG10($X$1*Masks[[#This Row],[f]]+Config!B$8*0.00073),-1000)</f>
        <v>-14.10329597965106</v>
      </c>
      <c r="S48" s="3">
        <f>10*LOG10((10^(Masks[[#This Row],[wire_echo]]/10))+(10^(Masks[[#This Row],[connector_echo]]/10)))</f>
        <v>-14.095646181277996</v>
      </c>
      <c r="T48" s="54"/>
      <c r="U48" s="54"/>
    </row>
    <row r="49" spans="1:21" x14ac:dyDescent="0.25">
      <c r="A49" s="2">
        <v>-97.700070687029196</v>
      </c>
      <c r="B49" s="2">
        <v>-97.700070687029196</v>
      </c>
      <c r="D49">
        <f>Calculate[[#This Row],[Freq]]</f>
        <v>2160000000</v>
      </c>
      <c r="E49" s="2">
        <f>MIN(-90, -89-Masks[[#This Row],[f]]/(600000000*S_ch_us),-82-Masks[[#This Row],[f]]/(250000000*S_ch_us))-K_ch_UPSD_us</f>
        <v>-94.419400086720373</v>
      </c>
      <c r="F49" s="2">
        <f>MIN(-90, -89-Masks[[#This Row],[f]]/(600000000*S_ch_ds),-82-Masks[[#This Row],[f]]/(250000000*S_ch_ds))-K_ch_UPSD_ds</f>
        <v>-94.419400086720373</v>
      </c>
      <c r="G49">
        <f>-MAX(MIN(20,20-10*LOG10(2*Masks[[#This Row],[f]]/480000000)),12-3)</f>
        <v>-10.457574905606752</v>
      </c>
      <c r="H49">
        <f>-MAX(MIN(20,20-10*LOG10(2*Masks[[#This Row],[f]]/480000000)),12-3)</f>
        <v>-10.457574905606752</v>
      </c>
      <c r="I49">
        <f>10*LOG10(POWER(10,Tx_power_us/10)/F_Nyquist_us)+IF(Masks[[#This Row],[f]]&gt;F_Nyquist_us,-50)</f>
        <v>-98.470325397914564</v>
      </c>
      <c r="J49" s="3">
        <f>10*LOG10(POWER(10,Tx_power_ds/10)/F_Nyquist_ds)+IF(Masks[[#This Row],[f]]&gt;F_Nyquist_ds,-50)</f>
        <v>-98.470325397914564</v>
      </c>
      <c r="K49" s="1">
        <f>20*LOG10(ABS(SIN(PI()*Masks[[#This Row],[f]]/Config!$B$41/2000000000)/(PI()*Masks[[#This Row],[f]]/Config!$B$41/2000000000)))+Tx_power_us-10*LOG10(F_Nyquist_us)+1.11</f>
        <v>-97.700070687029196</v>
      </c>
      <c r="L49" s="1">
        <f>20*LOG10(ABS(SIN(PI()*Masks[[#This Row],[f]]/Config!$B$41/2000000000)/(PI()*Masks[[#This Row],[f]]/Config!$B$41/2000000000)))+Tx_power_ds-10*LOG10(F_Nyquist_ds)+1.11</f>
        <v>-97.700070687029196</v>
      </c>
      <c r="M49" s="1">
        <f>10*LOG10(1/(1+(Masks[[#This Row],[f]]/Config!$B$41/1000000000)^6))+Tx_power_us-10*LOG10(F_Nyquist_us)+0.45</f>
        <v>-98.023974022124236</v>
      </c>
      <c r="N49" s="1">
        <f>10*LOG10(1/(1+(Masks[[#This Row],[f]]/Config!$C$41/1000000000)^6))+Tx_power_ds-10*LOG10(F_Nyquist_ds)+0.45</f>
        <v>-98.023974022124236</v>
      </c>
      <c r="O49" s="3">
        <f>IF(Masks[[#This Row],[f]]&gt;F_Nyquist_us,0,1)</f>
        <v>1</v>
      </c>
      <c r="P49" s="3">
        <f>IF(Masks[[#This Row],[f]]&gt;F_Nyquist_ds,0,1)</f>
        <v>1</v>
      </c>
      <c r="Q49" s="2">
        <f>Config!B$40</f>
        <v>-41.640813746660612</v>
      </c>
      <c r="R49" s="3">
        <f>IF(Config!B$8&gt;0,10*LOG10($X$1*Masks[[#This Row],[f]]+Config!B$8*0.00073),-1000)</f>
        <v>-14.018663541867625</v>
      </c>
      <c r="S49" s="3">
        <f>10*LOG10((10^(Masks[[#This Row],[wire_echo]]/10))+(10^(Masks[[#This Row],[connector_echo]]/10)))</f>
        <v>-14.011161247128303</v>
      </c>
      <c r="T49" s="54"/>
      <c r="U49" s="54"/>
    </row>
    <row r="50" spans="1:21" x14ac:dyDescent="0.25">
      <c r="A50" s="2">
        <v>-97.714492550701436</v>
      </c>
      <c r="B50" s="2">
        <v>-97.714492550701436</v>
      </c>
      <c r="D50">
        <f>Calculate[[#This Row],[Freq]]</f>
        <v>2205000000</v>
      </c>
      <c r="E50" s="2">
        <f>MIN(-90, -89-Masks[[#This Row],[f]]/(600000000*S_ch_us),-82-Masks[[#This Row],[f]]/(250000000*S_ch_us))-K_ch_UPSD_us</f>
        <v>-94.449400086720374</v>
      </c>
      <c r="F50" s="2">
        <f>MIN(-90, -89-Masks[[#This Row],[f]]/(600000000*S_ch_ds),-82-Masks[[#This Row],[f]]/(250000000*S_ch_ds))-K_ch_UPSD_ds</f>
        <v>-94.449400086720374</v>
      </c>
      <c r="G50">
        <f>-MAX(MIN(20,20-10*LOG10(2*Masks[[#This Row],[f]]/480000000)),12-3)</f>
        <v>-10.368026479077487</v>
      </c>
      <c r="H50">
        <f>-MAX(MIN(20,20-10*LOG10(2*Masks[[#This Row],[f]]/480000000)),12-3)</f>
        <v>-10.368026479077487</v>
      </c>
      <c r="I50">
        <f>10*LOG10(POWER(10,Tx_power_us/10)/F_Nyquist_us)+IF(Masks[[#This Row],[f]]&gt;F_Nyquist_us,-50)</f>
        <v>-98.470325397914564</v>
      </c>
      <c r="J50" s="3">
        <f>10*LOG10(POWER(10,Tx_power_ds/10)/F_Nyquist_ds)+IF(Masks[[#This Row],[f]]&gt;F_Nyquist_ds,-50)</f>
        <v>-98.470325397914564</v>
      </c>
      <c r="K50" s="1">
        <f>20*LOG10(ABS(SIN(PI()*Masks[[#This Row],[f]]/Config!$B$41/2000000000)/(PI()*Masks[[#This Row],[f]]/Config!$B$41/2000000000)))+Tx_power_us-10*LOG10(F_Nyquist_us)+1.11</f>
        <v>-97.714492550701436</v>
      </c>
      <c r="L50" s="1">
        <f>20*LOG10(ABS(SIN(PI()*Masks[[#This Row],[f]]/Config!$B$41/2000000000)/(PI()*Masks[[#This Row],[f]]/Config!$B$41/2000000000)))+Tx_power_ds-10*LOG10(F_Nyquist_ds)+1.11</f>
        <v>-97.714492550701436</v>
      </c>
      <c r="M50" s="1">
        <f>10*LOG10(1/(1+(Masks[[#This Row],[f]]/Config!$B$41/1000000000)^6))+Tx_power_us-10*LOG10(F_Nyquist_us)+0.45</f>
        <v>-98.024454296103585</v>
      </c>
      <c r="N50" s="1">
        <f>10*LOG10(1/(1+(Masks[[#This Row],[f]]/Config!$C$41/1000000000)^6))+Tx_power_ds-10*LOG10(F_Nyquist_ds)+0.45</f>
        <v>-98.024454296103585</v>
      </c>
      <c r="O50" s="3">
        <f>IF(Masks[[#This Row],[f]]&gt;F_Nyquist_us,0,1)</f>
        <v>1</v>
      </c>
      <c r="P50" s="3">
        <f>IF(Masks[[#This Row],[f]]&gt;F_Nyquist_ds,0,1)</f>
        <v>1</v>
      </c>
      <c r="Q50" s="2">
        <f>Config!B$40</f>
        <v>-41.640813746660612</v>
      </c>
      <c r="R50" s="3">
        <f>IF(Config!B$8&gt;0,10*LOG10($X$1*Masks[[#This Row],[f]]+Config!B$8*0.00073),-1000)</f>
        <v>-13.935648888981252</v>
      </c>
      <c r="S50" s="3">
        <f>10*LOG10((10^(Masks[[#This Row],[wire_echo]]/10))+(10^(Masks[[#This Row],[connector_echo]]/10)))</f>
        <v>-13.928288517143477</v>
      </c>
      <c r="T50" s="54"/>
      <c r="U50" s="54"/>
    </row>
    <row r="51" spans="1:21" x14ac:dyDescent="0.25">
      <c r="A51" s="2">
        <v>-97.729221795044026</v>
      </c>
      <c r="B51" s="2">
        <v>-97.729221795044026</v>
      </c>
      <c r="D51">
        <f>Calculate[[#This Row],[Freq]]</f>
        <v>2250000000</v>
      </c>
      <c r="E51" s="2">
        <f>MIN(-90, -89-Masks[[#This Row],[f]]/(600000000*S_ch_us),-82-Masks[[#This Row],[f]]/(250000000*S_ch_us))-K_ch_UPSD_us</f>
        <v>-94.479400086720375</v>
      </c>
      <c r="F51" s="2">
        <f>MIN(-90, -89-Masks[[#This Row],[f]]/(600000000*S_ch_ds),-82-Masks[[#This Row],[f]]/(250000000*S_ch_ds))-K_ch_UPSD_ds</f>
        <v>-94.479400086720375</v>
      </c>
      <c r="G51">
        <f>-MAX(MIN(20,20-10*LOG10(2*Masks[[#This Row],[f]]/480000000)),12-3)</f>
        <v>-10.280287236002435</v>
      </c>
      <c r="H51">
        <f>-MAX(MIN(20,20-10*LOG10(2*Masks[[#This Row],[f]]/480000000)),12-3)</f>
        <v>-10.280287236002435</v>
      </c>
      <c r="I51">
        <f>10*LOG10(POWER(10,Tx_power_us/10)/F_Nyquist_us)+IF(Masks[[#This Row],[f]]&gt;F_Nyquist_us,-50)</f>
        <v>-98.470325397914564</v>
      </c>
      <c r="J51" s="3">
        <f>10*LOG10(POWER(10,Tx_power_ds/10)/F_Nyquist_ds)+IF(Masks[[#This Row],[f]]&gt;F_Nyquist_ds,-50)</f>
        <v>-98.470325397914564</v>
      </c>
      <c r="K51" s="1">
        <f>20*LOG10(ABS(SIN(PI()*Masks[[#This Row],[f]]/Config!$B$41/2000000000)/(PI()*Masks[[#This Row],[f]]/Config!$B$41/2000000000)))+Tx_power_us-10*LOG10(F_Nyquist_us)+1.11</f>
        <v>-97.729221795044026</v>
      </c>
      <c r="L51" s="1">
        <f>20*LOG10(ABS(SIN(PI()*Masks[[#This Row],[f]]/Config!$B$41/2000000000)/(PI()*Masks[[#This Row],[f]]/Config!$B$41/2000000000)))+Tx_power_ds-10*LOG10(F_Nyquist_ds)+1.11</f>
        <v>-97.729221795044026</v>
      </c>
      <c r="M51" s="1">
        <f>10*LOG10(1/(1+(Masks[[#This Row],[f]]/Config!$B$41/1000000000)^6))+Tx_power_us-10*LOG10(F_Nyquist_us)+0.45</f>
        <v>-98.024986097659507</v>
      </c>
      <c r="N51" s="1">
        <f>10*LOG10(1/(1+(Masks[[#This Row],[f]]/Config!$C$41/1000000000)^6))+Tx_power_ds-10*LOG10(F_Nyquist_ds)+0.45</f>
        <v>-98.024986097659507</v>
      </c>
      <c r="O51" s="3">
        <f>IF(Masks[[#This Row],[f]]&gt;F_Nyquist_us,0,1)</f>
        <v>1</v>
      </c>
      <c r="P51" s="3">
        <f>IF(Masks[[#This Row],[f]]&gt;F_Nyquist_ds,0,1)</f>
        <v>1</v>
      </c>
      <c r="Q51" s="2">
        <f>Config!B$40</f>
        <v>-41.640813746660612</v>
      </c>
      <c r="R51" s="3">
        <f>IF(Config!B$8&gt;0,10*LOG10($X$1*Masks[[#This Row],[f]]+Config!B$8*0.00073),-1000)</f>
        <v>-13.854191330025142</v>
      </c>
      <c r="S51" s="3">
        <f>10*LOG10((10^(Masks[[#This Row],[wire_echo]]/10))+(10^(Masks[[#This Row],[connector_echo]]/10)))</f>
        <v>-13.846967611193268</v>
      </c>
      <c r="T51" s="54"/>
      <c r="U51" s="54"/>
    </row>
    <row r="52" spans="1:21" x14ac:dyDescent="0.25">
      <c r="A52" s="2">
        <v>-97.744259054147435</v>
      </c>
      <c r="B52" s="2">
        <v>-97.744259054147435</v>
      </c>
      <c r="D52">
        <f>Calculate[[#This Row],[Freq]]</f>
        <v>2295000000</v>
      </c>
      <c r="E52" s="2">
        <f>MIN(-90, -89-Masks[[#This Row],[f]]/(600000000*S_ch_us),-82-Masks[[#This Row],[f]]/(250000000*S_ch_us))-K_ch_UPSD_us</f>
        <v>-94.509400086720376</v>
      </c>
      <c r="F52" s="2">
        <f>MIN(-90, -89-Masks[[#This Row],[f]]/(600000000*S_ch_ds),-82-Masks[[#This Row],[f]]/(250000000*S_ch_ds))-K_ch_UPSD_ds</f>
        <v>-94.509400086720376</v>
      </c>
      <c r="G52">
        <f>-MAX(MIN(20,20-10*LOG10(2*Masks[[#This Row],[f]]/480000000)),12-3)</f>
        <v>-10.194285518383259</v>
      </c>
      <c r="H52">
        <f>-MAX(MIN(20,20-10*LOG10(2*Masks[[#This Row],[f]]/480000000)),12-3)</f>
        <v>-10.194285518383259</v>
      </c>
      <c r="I52">
        <f>10*LOG10(POWER(10,Tx_power_us/10)/F_Nyquist_us)+IF(Masks[[#This Row],[f]]&gt;F_Nyquist_us,-50)</f>
        <v>-98.470325397914564</v>
      </c>
      <c r="J52" s="3">
        <f>10*LOG10(POWER(10,Tx_power_ds/10)/F_Nyquist_ds)+IF(Masks[[#This Row],[f]]&gt;F_Nyquist_ds,-50)</f>
        <v>-98.470325397914564</v>
      </c>
      <c r="K52" s="1">
        <f>20*LOG10(ABS(SIN(PI()*Masks[[#This Row],[f]]/Config!$B$41/2000000000)/(PI()*Masks[[#This Row],[f]]/Config!$B$41/2000000000)))+Tx_power_us-10*LOG10(F_Nyquist_us)+1.11</f>
        <v>-97.744259054147435</v>
      </c>
      <c r="L52" s="1">
        <f>20*LOG10(ABS(SIN(PI()*Masks[[#This Row],[f]]/Config!$B$41/2000000000)/(PI()*Masks[[#This Row],[f]]/Config!$B$41/2000000000)))+Tx_power_ds-10*LOG10(F_Nyquist_ds)+1.11</f>
        <v>-97.744259054147435</v>
      </c>
      <c r="M52" s="1">
        <f>10*LOG10(1/(1+(Masks[[#This Row],[f]]/Config!$B$41/1000000000)^6))+Tx_power_us-10*LOG10(F_Nyquist_us)+0.45</f>
        <v>-98.025573747654448</v>
      </c>
      <c r="N52" s="1">
        <f>10*LOG10(1/(1+(Masks[[#This Row],[f]]/Config!$C$41/1000000000)^6))+Tx_power_ds-10*LOG10(F_Nyquist_ds)+0.45</f>
        <v>-98.025573747654448</v>
      </c>
      <c r="O52" s="3">
        <f>IF(Masks[[#This Row],[f]]&gt;F_Nyquist_us,0,1)</f>
        <v>1</v>
      </c>
      <c r="P52" s="3">
        <f>IF(Masks[[#This Row],[f]]&gt;F_Nyquist_ds,0,1)</f>
        <v>1</v>
      </c>
      <c r="Q52" s="2">
        <f>Config!B$40</f>
        <v>-41.640813746660612</v>
      </c>
      <c r="R52" s="3">
        <f>IF(Config!B$8&gt;0,10*LOG10($X$1*Masks[[#This Row],[f]]+Config!B$8*0.00073),-1000)</f>
        <v>-13.77423352646522</v>
      </c>
      <c r="S52" s="3">
        <f>10*LOG10((10^(Masks[[#This Row],[wire_echo]]/10))+(10^(Masks[[#This Row],[connector_echo]]/10)))</f>
        <v>-13.767141478916884</v>
      </c>
      <c r="T52" s="54"/>
      <c r="U52" s="54"/>
    </row>
    <row r="53" spans="1:21" x14ac:dyDescent="0.25">
      <c r="A53" s="2">
        <v>-97.759604977046266</v>
      </c>
      <c r="B53" s="2">
        <v>-97.759604977046266</v>
      </c>
      <c r="D53">
        <f>Calculate[[#This Row],[Freq]]</f>
        <v>2340000000</v>
      </c>
      <c r="E53" s="2">
        <f>MIN(-90, -89-Masks[[#This Row],[f]]/(600000000*S_ch_us),-82-Masks[[#This Row],[f]]/(250000000*S_ch_us))-K_ch_UPSD_us</f>
        <v>-94.539400086720377</v>
      </c>
      <c r="F53" s="2">
        <f>MIN(-90, -89-Masks[[#This Row],[f]]/(600000000*S_ch_ds),-82-Masks[[#This Row],[f]]/(250000000*S_ch_ds))-K_ch_UPSD_ds</f>
        <v>-94.539400086720377</v>
      </c>
      <c r="G53">
        <f>-MAX(MIN(20,20-10*LOG10(2*Masks[[#This Row],[f]]/480000000)),12-3)</f>
        <v>-10.109953843014631</v>
      </c>
      <c r="H53">
        <f>-MAX(MIN(20,20-10*LOG10(2*Masks[[#This Row],[f]]/480000000)),12-3)</f>
        <v>-10.109953843014631</v>
      </c>
      <c r="I53">
        <f>10*LOG10(POWER(10,Tx_power_us/10)/F_Nyquist_us)+IF(Masks[[#This Row],[f]]&gt;F_Nyquist_us,-50)</f>
        <v>-98.470325397914564</v>
      </c>
      <c r="J53" s="3">
        <f>10*LOG10(POWER(10,Tx_power_ds/10)/F_Nyquist_ds)+IF(Masks[[#This Row],[f]]&gt;F_Nyquist_ds,-50)</f>
        <v>-98.470325397914564</v>
      </c>
      <c r="K53" s="1">
        <f>20*LOG10(ABS(SIN(PI()*Masks[[#This Row],[f]]/Config!$B$41/2000000000)/(PI()*Masks[[#This Row],[f]]/Config!$B$41/2000000000)))+Tx_power_us-10*LOG10(F_Nyquist_us)+1.11</f>
        <v>-97.759604977046266</v>
      </c>
      <c r="L53" s="1">
        <f>20*LOG10(ABS(SIN(PI()*Masks[[#This Row],[f]]/Config!$B$41/2000000000)/(PI()*Masks[[#This Row],[f]]/Config!$B$41/2000000000)))+Tx_power_ds-10*LOG10(F_Nyquist_ds)+1.11</f>
        <v>-97.759604977046266</v>
      </c>
      <c r="M53" s="1">
        <f>10*LOG10(1/(1+(Masks[[#This Row],[f]]/Config!$B$41/1000000000)^6))+Tx_power_us-10*LOG10(F_Nyquist_us)+0.45</f>
        <v>-98.026221830831858</v>
      </c>
      <c r="N53" s="1">
        <f>10*LOG10(1/(1+(Masks[[#This Row],[f]]/Config!$C$41/1000000000)^6))+Tx_power_ds-10*LOG10(F_Nyquist_ds)+0.45</f>
        <v>-98.026221830831858</v>
      </c>
      <c r="O53" s="3">
        <f>IF(Masks[[#This Row],[f]]&gt;F_Nyquist_us,0,1)</f>
        <v>1</v>
      </c>
      <c r="P53" s="3">
        <f>IF(Masks[[#This Row],[f]]&gt;F_Nyquist_ds,0,1)</f>
        <v>1</v>
      </c>
      <c r="Q53" s="2">
        <f>Config!B$40</f>
        <v>-41.640813746660612</v>
      </c>
      <c r="R53" s="3">
        <f>IF(Config!B$8&gt;0,10*LOG10($X$1*Masks[[#This Row],[f]]+Config!B$8*0.00073),-1000)</f>
        <v>-13.695721249749761</v>
      </c>
      <c r="S53" s="3">
        <f>10*LOG10((10^(Masks[[#This Row],[wire_echo]]/10))+(10^(Masks[[#This Row],[connector_echo]]/10)))</f>
        <v>-13.688756159301114</v>
      </c>
      <c r="T53" s="54"/>
      <c r="U53" s="54"/>
    </row>
    <row r="54" spans="1:21" x14ac:dyDescent="0.25">
      <c r="A54" s="2">
        <v>-97.775260227857032</v>
      </c>
      <c r="B54" s="2">
        <v>-97.775260227857032</v>
      </c>
      <c r="D54">
        <f>Calculate[[#This Row],[Freq]]</f>
        <v>2385000000</v>
      </c>
      <c r="E54" s="2">
        <f>MIN(-90, -89-Masks[[#This Row],[f]]/(600000000*S_ch_us),-82-Masks[[#This Row],[f]]/(250000000*S_ch_us))-K_ch_UPSD_us</f>
        <v>-94.569400086720378</v>
      </c>
      <c r="F54" s="2">
        <f>MIN(-90, -89-Masks[[#This Row],[f]]/(600000000*S_ch_ds),-82-Masks[[#This Row],[f]]/(250000000*S_ch_ds))-K_ch_UPSD_ds</f>
        <v>-94.569400086720378</v>
      </c>
      <c r="G54">
        <f>-MAX(MIN(20,20-10*LOG10(2*Masks[[#This Row],[f]]/480000000)),12-3)</f>
        <v>-10.027228583354733</v>
      </c>
      <c r="H54">
        <f>-MAX(MIN(20,20-10*LOG10(2*Masks[[#This Row],[f]]/480000000)),12-3)</f>
        <v>-10.027228583354733</v>
      </c>
      <c r="I54">
        <f>10*LOG10(POWER(10,Tx_power_us/10)/F_Nyquist_us)+IF(Masks[[#This Row],[f]]&gt;F_Nyquist_us,-50)</f>
        <v>-98.470325397914564</v>
      </c>
      <c r="J54" s="3">
        <f>10*LOG10(POWER(10,Tx_power_ds/10)/F_Nyquist_ds)+IF(Masks[[#This Row],[f]]&gt;F_Nyquist_ds,-50)</f>
        <v>-98.470325397914564</v>
      </c>
      <c r="K54" s="1">
        <f>20*LOG10(ABS(SIN(PI()*Masks[[#This Row],[f]]/Config!$B$41/2000000000)/(PI()*Masks[[#This Row],[f]]/Config!$B$41/2000000000)))+Tx_power_us-10*LOG10(F_Nyquist_us)+1.11</f>
        <v>-97.775260227857032</v>
      </c>
      <c r="L54" s="1">
        <f>20*LOG10(ABS(SIN(PI()*Masks[[#This Row],[f]]/Config!$B$41/2000000000)/(PI()*Masks[[#This Row],[f]]/Config!$B$41/2000000000)))+Tx_power_ds-10*LOG10(F_Nyquist_ds)+1.11</f>
        <v>-97.775260227857032</v>
      </c>
      <c r="M54" s="1">
        <f>10*LOG10(1/(1+(Masks[[#This Row],[f]]/Config!$B$41/1000000000)^6))+Tx_power_us-10*LOG10(F_Nyquist_us)+0.45</f>
        <v>-98.02693520585521</v>
      </c>
      <c r="N54" s="1">
        <f>10*LOG10(1/(1+(Masks[[#This Row],[f]]/Config!$C$41/1000000000)^6))+Tx_power_ds-10*LOG10(F_Nyquist_ds)+0.45</f>
        <v>-98.02693520585521</v>
      </c>
      <c r="O54" s="3">
        <f>IF(Masks[[#This Row],[f]]&gt;F_Nyquist_us,0,1)</f>
        <v>1</v>
      </c>
      <c r="P54" s="3">
        <f>IF(Masks[[#This Row],[f]]&gt;F_Nyquist_ds,0,1)</f>
        <v>1</v>
      </c>
      <c r="Q54" s="2">
        <f>Config!B$40</f>
        <v>-41.640813746660612</v>
      </c>
      <c r="R54" s="3">
        <f>IF(Config!B$8&gt;0,10*LOG10($X$1*Masks[[#This Row],[f]]+Config!B$8*0.00073),-1000)</f>
        <v>-13.618603160388039</v>
      </c>
      <c r="S54" s="3">
        <f>10*LOG10((10^(Masks[[#This Row],[wire_echo]]/10))+(10^(Masks[[#This Row],[connector_echo]]/10)))</f>
        <v>-13.611760561573474</v>
      </c>
      <c r="T54" s="54"/>
      <c r="U54" s="54"/>
    </row>
    <row r="55" spans="1:21" x14ac:dyDescent="0.25">
      <c r="A55" s="2">
        <v>-97.791225485919881</v>
      </c>
      <c r="B55" s="2">
        <v>-97.791225485919881</v>
      </c>
      <c r="D55">
        <f>Calculate[[#This Row],[Freq]]</f>
        <v>2430000000</v>
      </c>
      <c r="E55" s="2">
        <f>MIN(-90, -89-Masks[[#This Row],[f]]/(600000000*S_ch_us),-82-Masks[[#This Row],[f]]/(250000000*S_ch_us))-K_ch_UPSD_us</f>
        <v>-94.599400086720379</v>
      </c>
      <c r="F55" s="2">
        <f>MIN(-90, -89-Masks[[#This Row],[f]]/(600000000*S_ch_ds),-82-Masks[[#This Row],[f]]/(250000000*S_ch_ds))-K_ch_UPSD_ds</f>
        <v>-94.599400086720379</v>
      </c>
      <c r="G55">
        <f>-MAX(MIN(20,20-10*LOG10(2*Masks[[#This Row],[f]]/480000000)),12-3)</f>
        <v>-9.9460496811329371</v>
      </c>
      <c r="H55">
        <f>-MAX(MIN(20,20-10*LOG10(2*Masks[[#This Row],[f]]/480000000)),12-3)</f>
        <v>-9.9460496811329371</v>
      </c>
      <c r="I55">
        <f>10*LOG10(POWER(10,Tx_power_us/10)/F_Nyquist_us)+IF(Masks[[#This Row],[f]]&gt;F_Nyquist_us,-50)</f>
        <v>-98.470325397914564</v>
      </c>
      <c r="J55" s="3">
        <f>10*LOG10(POWER(10,Tx_power_ds/10)/F_Nyquist_ds)+IF(Masks[[#This Row],[f]]&gt;F_Nyquist_ds,-50)</f>
        <v>-98.470325397914564</v>
      </c>
      <c r="K55" s="1">
        <f>20*LOG10(ABS(SIN(PI()*Masks[[#This Row],[f]]/Config!$B$41/2000000000)/(PI()*Masks[[#This Row],[f]]/Config!$B$41/2000000000)))+Tx_power_us-10*LOG10(F_Nyquist_us)+1.11</f>
        <v>-97.791225485919881</v>
      </c>
      <c r="L55" s="1">
        <f>20*LOG10(ABS(SIN(PI()*Masks[[#This Row],[f]]/Config!$B$41/2000000000)/(PI()*Masks[[#This Row],[f]]/Config!$B$41/2000000000)))+Tx_power_ds-10*LOG10(F_Nyquist_ds)+1.11</f>
        <v>-97.791225485919881</v>
      </c>
      <c r="M55" s="1">
        <f>10*LOG10(1/(1+(Masks[[#This Row],[f]]/Config!$B$41/1000000000)^6))+Tx_power_us-10*LOG10(F_Nyquist_us)+0.45</f>
        <v>-98.027719015443651</v>
      </c>
      <c r="N55" s="1">
        <f>10*LOG10(1/(1+(Masks[[#This Row],[f]]/Config!$C$41/1000000000)^6))+Tx_power_ds-10*LOG10(F_Nyquist_ds)+0.45</f>
        <v>-98.027719015443651</v>
      </c>
      <c r="O55" s="3">
        <f>IF(Masks[[#This Row],[f]]&gt;F_Nyquist_us,0,1)</f>
        <v>1</v>
      </c>
      <c r="P55" s="3">
        <f>IF(Masks[[#This Row],[f]]&gt;F_Nyquist_ds,0,1)</f>
        <v>1</v>
      </c>
      <c r="Q55" s="2">
        <f>Config!B$40</f>
        <v>-41.640813746660612</v>
      </c>
      <c r="R55" s="3">
        <f>IF(Config!B$8&gt;0,10*LOG10($X$1*Masks[[#This Row],[f]]+Config!B$8*0.00073),-1000)</f>
        <v>-13.542830606303962</v>
      </c>
      <c r="S55" s="3">
        <f>10*LOG10((10^(Masks[[#This Row],[wire_echo]]/10))+(10^(Masks[[#This Row],[connector_echo]]/10)))</f>
        <v>-13.536106265182132</v>
      </c>
      <c r="T55" s="54"/>
      <c r="U55" s="54"/>
    </row>
    <row r="56" spans="1:21" x14ac:dyDescent="0.25">
      <c r="A56" s="2">
        <v>-97.807501445943899</v>
      </c>
      <c r="B56" s="2">
        <v>-97.807501445943899</v>
      </c>
      <c r="D56">
        <f>Calculate[[#This Row],[Freq]]</f>
        <v>2475000000</v>
      </c>
      <c r="E56" s="2">
        <f>MIN(-90, -89-Masks[[#This Row],[f]]/(600000000*S_ch_us),-82-Masks[[#This Row],[f]]/(250000000*S_ch_us))-K_ch_UPSD_us</f>
        <v>-94.629400086720381</v>
      </c>
      <c r="F56" s="2">
        <f>MIN(-90, -89-Masks[[#This Row],[f]]/(600000000*S_ch_ds),-82-Masks[[#This Row],[f]]/(250000000*S_ch_ds))-K_ch_UPSD_ds</f>
        <v>-94.629400086720381</v>
      </c>
      <c r="G56">
        <f>-MAX(MIN(20,20-10*LOG10(2*Masks[[#This Row],[f]]/480000000)),12-3)</f>
        <v>-9.8663603844201848</v>
      </c>
      <c r="H56">
        <f>-MAX(MIN(20,20-10*LOG10(2*Masks[[#This Row],[f]]/480000000)),12-3)</f>
        <v>-9.8663603844201848</v>
      </c>
      <c r="I56">
        <f>10*LOG10(POWER(10,Tx_power_us/10)/F_Nyquist_us)+IF(Masks[[#This Row],[f]]&gt;F_Nyquist_us,-50)</f>
        <v>-98.470325397914564</v>
      </c>
      <c r="J56" s="3">
        <f>10*LOG10(POWER(10,Tx_power_ds/10)/F_Nyquist_ds)+IF(Masks[[#This Row],[f]]&gt;F_Nyquist_ds,-50)</f>
        <v>-98.470325397914564</v>
      </c>
      <c r="K56" s="1">
        <f>20*LOG10(ABS(SIN(PI()*Masks[[#This Row],[f]]/Config!$B$41/2000000000)/(PI()*Masks[[#This Row],[f]]/Config!$B$41/2000000000)))+Tx_power_us-10*LOG10(F_Nyquist_us)+1.11</f>
        <v>-97.807501445943899</v>
      </c>
      <c r="L56" s="1">
        <f>20*LOG10(ABS(SIN(PI()*Masks[[#This Row],[f]]/Config!$B$41/2000000000)/(PI()*Masks[[#This Row],[f]]/Config!$B$41/2000000000)))+Tx_power_ds-10*LOG10(F_Nyquist_ds)+1.11</f>
        <v>-97.807501445943899</v>
      </c>
      <c r="M56" s="1">
        <f>10*LOG10(1/(1+(Masks[[#This Row],[f]]/Config!$B$41/1000000000)^6))+Tx_power_us-10*LOG10(F_Nyquist_us)+0.45</f>
        <v>-98.02857869658952</v>
      </c>
      <c r="N56" s="1">
        <f>10*LOG10(1/(1+(Masks[[#This Row],[f]]/Config!$C$41/1000000000)^6))+Tx_power_ds-10*LOG10(F_Nyquist_ds)+0.45</f>
        <v>-98.02857869658952</v>
      </c>
      <c r="O56" s="3">
        <f>IF(Masks[[#This Row],[f]]&gt;F_Nyquist_us,0,1)</f>
        <v>1</v>
      </c>
      <c r="P56" s="3">
        <f>IF(Masks[[#This Row],[f]]&gt;F_Nyquist_ds,0,1)</f>
        <v>1</v>
      </c>
      <c r="Q56" s="2">
        <f>Config!B$40</f>
        <v>-41.640813746660612</v>
      </c>
      <c r="R56" s="3">
        <f>IF(Config!B$8&gt;0,10*LOG10($X$1*Masks[[#This Row],[f]]+Config!B$8*0.00073),-1000)</f>
        <v>-13.468357438481187</v>
      </c>
      <c r="S56" s="3">
        <f>10*LOG10((10^(Masks[[#This Row],[wire_echo]]/10))+(10^(Masks[[#This Row],[connector_echo]]/10)))</f>
        <v>-13.461747336901572</v>
      </c>
      <c r="T56" s="54"/>
      <c r="U56" s="54"/>
    </row>
    <row r="57" spans="1:21" x14ac:dyDescent="0.25">
      <c r="A57" s="2">
        <v>-97.824088818156511</v>
      </c>
      <c r="B57" s="2">
        <v>-97.824088818156511</v>
      </c>
      <c r="D57">
        <f>Calculate[[#This Row],[Freq]]</f>
        <v>2520000000</v>
      </c>
      <c r="E57" s="2">
        <f>MIN(-90, -89-Masks[[#This Row],[f]]/(600000000*S_ch_us),-82-Masks[[#This Row],[f]]/(250000000*S_ch_us))-K_ch_UPSD_us</f>
        <v>-94.659400086720382</v>
      </c>
      <c r="F57" s="2">
        <f>MIN(-90, -89-Masks[[#This Row],[f]]/(600000000*S_ch_ds),-82-Masks[[#This Row],[f]]/(250000000*S_ch_ds))-K_ch_UPSD_ds</f>
        <v>-94.659400086720382</v>
      </c>
      <c r="G57">
        <f>-MAX(MIN(20,20-10*LOG10(2*Masks[[#This Row],[f]]/480000000)),12-3)</f>
        <v>-9.7881070093006191</v>
      </c>
      <c r="H57">
        <f>-MAX(MIN(20,20-10*LOG10(2*Masks[[#This Row],[f]]/480000000)),12-3)</f>
        <v>-9.7881070093006191</v>
      </c>
      <c r="I57">
        <f>10*LOG10(POWER(10,Tx_power_us/10)/F_Nyquist_us)+IF(Masks[[#This Row],[f]]&gt;F_Nyquist_us,-50)</f>
        <v>-98.470325397914564</v>
      </c>
      <c r="J57" s="3">
        <f>10*LOG10(POWER(10,Tx_power_ds/10)/F_Nyquist_ds)+IF(Masks[[#This Row],[f]]&gt;F_Nyquist_ds,-50)</f>
        <v>-98.470325397914564</v>
      </c>
      <c r="K57" s="1">
        <f>20*LOG10(ABS(SIN(PI()*Masks[[#This Row],[f]]/Config!$B$41/2000000000)/(PI()*Masks[[#This Row],[f]]/Config!$B$41/2000000000)))+Tx_power_us-10*LOG10(F_Nyquist_us)+1.11</f>
        <v>-97.824088818156511</v>
      </c>
      <c r="L57" s="1">
        <f>20*LOG10(ABS(SIN(PI()*Masks[[#This Row],[f]]/Config!$B$41/2000000000)/(PI()*Masks[[#This Row],[f]]/Config!$B$41/2000000000)))+Tx_power_ds-10*LOG10(F_Nyquist_ds)+1.11</f>
        <v>-97.824088818156511</v>
      </c>
      <c r="M57" s="1">
        <f>10*LOG10(1/(1+(Masks[[#This Row],[f]]/Config!$B$41/1000000000)^6))+Tx_power_us-10*LOG10(F_Nyquist_us)+0.45</f>
        <v>-98.029519990842459</v>
      </c>
      <c r="N57" s="1">
        <f>10*LOG10(1/(1+(Masks[[#This Row],[f]]/Config!$C$41/1000000000)^6))+Tx_power_ds-10*LOG10(F_Nyquist_ds)+0.45</f>
        <v>-98.029519990842459</v>
      </c>
      <c r="O57" s="3">
        <f>IF(Masks[[#This Row],[f]]&gt;F_Nyquist_us,0,1)</f>
        <v>1</v>
      </c>
      <c r="P57" s="3">
        <f>IF(Masks[[#This Row],[f]]&gt;F_Nyquist_ds,0,1)</f>
        <v>1</v>
      </c>
      <c r="Q57" s="2">
        <f>Config!B$40</f>
        <v>-41.640813746660612</v>
      </c>
      <c r="R57" s="3">
        <f>IF(Config!B$8&gt;0,10*LOG10($X$1*Masks[[#This Row],[f]]+Config!B$8*0.00073),-1000)</f>
        <v>-13.395139842150323</v>
      </c>
      <c r="S57" s="3">
        <f>10*LOG10((10^(Masks[[#This Row],[wire_echo]]/10))+(10^(Masks[[#This Row],[connector_echo]]/10)))</f>
        <v>-13.388640163333953</v>
      </c>
      <c r="T57" s="54"/>
      <c r="U57" s="54"/>
    </row>
    <row r="58" spans="1:21" x14ac:dyDescent="0.25">
      <c r="A58" s="2">
        <v>-97.840988328456731</v>
      </c>
      <c r="B58" s="2">
        <v>-97.840988328456731</v>
      </c>
      <c r="D58">
        <f>Calculate[[#This Row],[Freq]]</f>
        <v>2565000000</v>
      </c>
      <c r="E58" s="2">
        <f>MIN(-90, -89-Masks[[#This Row],[f]]/(600000000*S_ch_us),-82-Masks[[#This Row],[f]]/(250000000*S_ch_us))-K_ch_UPSD_us</f>
        <v>-94.689400086720369</v>
      </c>
      <c r="F58" s="2">
        <f>MIN(-90, -89-Masks[[#This Row],[f]]/(600000000*S_ch_ds),-82-Masks[[#This Row],[f]]/(250000000*S_ch_ds))-K_ch_UPSD_ds</f>
        <v>-94.689400086720369</v>
      </c>
      <c r="G58">
        <f>-MAX(MIN(20,20-10*LOG10(2*Masks[[#This Row],[f]]/480000000)),12-3)</f>
        <v>-9.7112387226377095</v>
      </c>
      <c r="H58">
        <f>-MAX(MIN(20,20-10*LOG10(2*Masks[[#This Row],[f]]/480000000)),12-3)</f>
        <v>-9.7112387226377095</v>
      </c>
      <c r="I58">
        <f>10*LOG10(POWER(10,Tx_power_us/10)/F_Nyquist_us)+IF(Masks[[#This Row],[f]]&gt;F_Nyquist_us,-50)</f>
        <v>-98.470325397914564</v>
      </c>
      <c r="J58" s="3">
        <f>10*LOG10(POWER(10,Tx_power_ds/10)/F_Nyquist_ds)+IF(Masks[[#This Row],[f]]&gt;F_Nyquist_ds,-50)</f>
        <v>-98.470325397914564</v>
      </c>
      <c r="K58" s="1">
        <f>20*LOG10(ABS(SIN(PI()*Masks[[#This Row],[f]]/Config!$B$41/2000000000)/(PI()*Masks[[#This Row],[f]]/Config!$B$41/2000000000)))+Tx_power_us-10*LOG10(F_Nyquist_us)+1.11</f>
        <v>-97.840988328456731</v>
      </c>
      <c r="L58" s="1">
        <f>20*LOG10(ABS(SIN(PI()*Masks[[#This Row],[f]]/Config!$B$41/2000000000)/(PI()*Masks[[#This Row],[f]]/Config!$B$41/2000000000)))+Tx_power_ds-10*LOG10(F_Nyquist_ds)+1.11</f>
        <v>-97.840988328456731</v>
      </c>
      <c r="M58" s="1">
        <f>10*LOG10(1/(1+(Masks[[#This Row],[f]]/Config!$B$41/1000000000)^6))+Tx_power_us-10*LOG10(F_Nyquist_us)+0.45</f>
        <v>-98.030548954642569</v>
      </c>
      <c r="N58" s="1">
        <f>10*LOG10(1/(1+(Masks[[#This Row],[f]]/Config!$C$41/1000000000)^6))+Tx_power_ds-10*LOG10(F_Nyquist_ds)+0.45</f>
        <v>-98.030548954642569</v>
      </c>
      <c r="O58" s="3">
        <f>IF(Masks[[#This Row],[f]]&gt;F_Nyquist_us,0,1)</f>
        <v>1</v>
      </c>
      <c r="P58" s="3">
        <f>IF(Masks[[#This Row],[f]]&gt;F_Nyquist_ds,0,1)</f>
        <v>1</v>
      </c>
      <c r="Q58" s="2">
        <f>Config!B$40</f>
        <v>-41.640813746660612</v>
      </c>
      <c r="R58" s="3">
        <f>IF(Config!B$8&gt;0,10*LOG10($X$1*Masks[[#This Row],[f]]+Config!B$8*0.00073),-1000)</f>
        <v>-13.323136181971956</v>
      </c>
      <c r="S58" s="3">
        <f>10*LOG10((10^(Masks[[#This Row],[wire_echo]]/10))+(10^(Masks[[#This Row],[connector_echo]]/10)))</f>
        <v>-13.316743297276709</v>
      </c>
      <c r="T58" s="54"/>
      <c r="U58" s="54"/>
    </row>
    <row r="59" spans="1:21" x14ac:dyDescent="0.25">
      <c r="A59" s="2">
        <v>-97.858200718572533</v>
      </c>
      <c r="B59" s="2">
        <v>-97.858200718572533</v>
      </c>
      <c r="D59">
        <f>Calculate[[#This Row],[Freq]]</f>
        <v>2610000000</v>
      </c>
      <c r="E59" s="2">
        <f>MIN(-90, -89-Masks[[#This Row],[f]]/(600000000*S_ch_us),-82-Masks[[#This Row],[f]]/(250000000*S_ch_us))-K_ch_UPSD_us</f>
        <v>-94.71940008672037</v>
      </c>
      <c r="F59" s="2">
        <f>MIN(-90, -89-Masks[[#This Row],[f]]/(600000000*S_ch_ds),-82-Masks[[#This Row],[f]]/(250000000*S_ch_ds))-K_ch_UPSD_ds</f>
        <v>-94.71940008672037</v>
      </c>
      <c r="G59">
        <f>-MAX(MIN(20,20-10*LOG10(2*Masks[[#This Row],[f]]/480000000)),12-3)</f>
        <v>-9.6357073437332517</v>
      </c>
      <c r="H59">
        <f>-MAX(MIN(20,20-10*LOG10(2*Masks[[#This Row],[f]]/480000000)),12-3)</f>
        <v>-9.6357073437332517</v>
      </c>
      <c r="I59">
        <f>10*LOG10(POWER(10,Tx_power_us/10)/F_Nyquist_us)+IF(Masks[[#This Row],[f]]&gt;F_Nyquist_us,-50)</f>
        <v>-98.470325397914564</v>
      </c>
      <c r="J59" s="3">
        <f>10*LOG10(POWER(10,Tx_power_ds/10)/F_Nyquist_ds)+IF(Masks[[#This Row],[f]]&gt;F_Nyquist_ds,-50)</f>
        <v>-98.470325397914564</v>
      </c>
      <c r="K59" s="1">
        <f>20*LOG10(ABS(SIN(PI()*Masks[[#This Row],[f]]/Config!$B$41/2000000000)/(PI()*Masks[[#This Row],[f]]/Config!$B$41/2000000000)))+Tx_power_us-10*LOG10(F_Nyquist_us)+1.11</f>
        <v>-97.858200718572533</v>
      </c>
      <c r="L59" s="1">
        <f>20*LOG10(ABS(SIN(PI()*Masks[[#This Row],[f]]/Config!$B$41/2000000000)/(PI()*Masks[[#This Row],[f]]/Config!$B$41/2000000000)))+Tx_power_ds-10*LOG10(F_Nyquist_ds)+1.11</f>
        <v>-97.858200718572533</v>
      </c>
      <c r="M59" s="1">
        <f>10*LOG10(1/(1+(Masks[[#This Row],[f]]/Config!$B$41/1000000000)^6))+Tx_power_us-10*LOG10(F_Nyquist_us)+0.45</f>
        <v>-98.031671969683856</v>
      </c>
      <c r="N59" s="1">
        <f>10*LOG10(1/(1+(Masks[[#This Row],[f]]/Config!$C$41/1000000000)^6))+Tx_power_ds-10*LOG10(F_Nyquist_ds)+0.45</f>
        <v>-98.031671969683856</v>
      </c>
      <c r="O59" s="3">
        <f>IF(Masks[[#This Row],[f]]&gt;F_Nyquist_us,0,1)</f>
        <v>1</v>
      </c>
      <c r="P59" s="3">
        <f>IF(Masks[[#This Row],[f]]&gt;F_Nyquist_ds,0,1)</f>
        <v>1</v>
      </c>
      <c r="Q59" s="2">
        <f>Config!B$40</f>
        <v>-41.640813746660612</v>
      </c>
      <c r="R59" s="3">
        <f>IF(Config!B$8&gt;0,10*LOG10($X$1*Masks[[#This Row],[f]]+Config!B$8*0.00073),-1000)</f>
        <v>-13.252306859845737</v>
      </c>
      <c r="S59" s="3">
        <f>10*LOG10((10^(Masks[[#This Row],[wire_echo]]/10))+(10^(Masks[[#This Row],[connector_echo]]/10)))</f>
        <v>-13.246017316601362</v>
      </c>
      <c r="T59" s="54"/>
      <c r="U59" s="54"/>
    </row>
    <row r="60" spans="1:21" x14ac:dyDescent="0.25">
      <c r="A60" s="2">
        <v>-97.875726746222213</v>
      </c>
      <c r="B60" s="2">
        <v>-97.875726746222213</v>
      </c>
      <c r="D60">
        <f>Calculate[[#This Row],[Freq]]</f>
        <v>2655000000</v>
      </c>
      <c r="E60" s="2">
        <f>MIN(-90, -89-Masks[[#This Row],[f]]/(600000000*S_ch_us),-82-Masks[[#This Row],[f]]/(250000000*S_ch_us))-K_ch_UPSD_us</f>
        <v>-94.749400086720371</v>
      </c>
      <c r="F60" s="2">
        <f>MIN(-90, -89-Masks[[#This Row],[f]]/(600000000*S_ch_ds),-82-Masks[[#This Row],[f]]/(250000000*S_ch_ds))-K_ch_UPSD_ds</f>
        <v>-94.749400086720371</v>
      </c>
      <c r="G60">
        <f>-MAX(MIN(20,20-10*LOG10(2*Masks[[#This Row],[f]]/480000000)),12-3)</f>
        <v>-9.5614671629411809</v>
      </c>
      <c r="H60">
        <f>-MAX(MIN(20,20-10*LOG10(2*Masks[[#This Row],[f]]/480000000)),12-3)</f>
        <v>-9.5614671629411809</v>
      </c>
      <c r="I60">
        <f>10*LOG10(POWER(10,Tx_power_us/10)/F_Nyquist_us)+IF(Masks[[#This Row],[f]]&gt;F_Nyquist_us,-50)</f>
        <v>-98.470325397914564</v>
      </c>
      <c r="J60" s="3">
        <f>10*LOG10(POWER(10,Tx_power_ds/10)/F_Nyquist_ds)+IF(Masks[[#This Row],[f]]&gt;F_Nyquist_ds,-50)</f>
        <v>-98.470325397914564</v>
      </c>
      <c r="K60" s="1">
        <f>20*LOG10(ABS(SIN(PI()*Masks[[#This Row],[f]]/Config!$B$41/2000000000)/(PI()*Masks[[#This Row],[f]]/Config!$B$41/2000000000)))+Tx_power_us-10*LOG10(F_Nyquist_us)+1.11</f>
        <v>-97.875726746222213</v>
      </c>
      <c r="L60" s="1">
        <f>20*LOG10(ABS(SIN(PI()*Masks[[#This Row],[f]]/Config!$B$41/2000000000)/(PI()*Masks[[#This Row],[f]]/Config!$B$41/2000000000)))+Tx_power_ds-10*LOG10(F_Nyquist_ds)+1.11</f>
        <v>-97.875726746222213</v>
      </c>
      <c r="M60" s="1">
        <f>10*LOG10(1/(1+(Masks[[#This Row],[f]]/Config!$B$41/1000000000)^6))+Tx_power_us-10*LOG10(F_Nyquist_us)+0.45</f>
        <v>-98.032895753287875</v>
      </c>
      <c r="N60" s="1">
        <f>10*LOG10(1/(1+(Masks[[#This Row],[f]]/Config!$C$41/1000000000)^6))+Tx_power_ds-10*LOG10(F_Nyquist_ds)+0.45</f>
        <v>-98.032895753287875</v>
      </c>
      <c r="O60" s="3">
        <f>IF(Masks[[#This Row],[f]]&gt;F_Nyquist_us,0,1)</f>
        <v>1</v>
      </c>
      <c r="P60" s="3">
        <f>IF(Masks[[#This Row],[f]]&gt;F_Nyquist_ds,0,1)</f>
        <v>1</v>
      </c>
      <c r="Q60" s="2">
        <f>Config!B$40</f>
        <v>-41.640813746660612</v>
      </c>
      <c r="R60" s="3">
        <f>IF(Config!B$8&gt;0,10*LOG10($X$1*Masks[[#This Row],[f]]+Config!B$8*0.00073),-1000)</f>
        <v>-13.182614184129694</v>
      </c>
      <c r="S60" s="3">
        <f>10*LOG10((10^(Masks[[#This Row],[wire_echo]]/10))+(10^(Masks[[#This Row],[connector_echo]]/10)))</f>
        <v>-13.176424694440405</v>
      </c>
      <c r="T60" s="54"/>
      <c r="U60" s="54"/>
    </row>
    <row r="61" spans="1:21" x14ac:dyDescent="0.25">
      <c r="A61" s="2">
        <v>-97.893567185280162</v>
      </c>
      <c r="B61" s="2">
        <v>-97.893567185280162</v>
      </c>
      <c r="D61">
        <f>Calculate[[#This Row],[Freq]]</f>
        <v>2700000000</v>
      </c>
      <c r="E61" s="2">
        <f>MIN(-90, -89-Masks[[#This Row],[f]]/(600000000*S_ch_us),-82-Masks[[#This Row],[f]]/(250000000*S_ch_us))-K_ch_UPSD_us</f>
        <v>-94.779400086720372</v>
      </c>
      <c r="F61" s="2">
        <f>MIN(-90, -89-Masks[[#This Row],[f]]/(600000000*S_ch_ds),-82-Masks[[#This Row],[f]]/(250000000*S_ch_ds))-K_ch_UPSD_ds</f>
        <v>-94.779400086720372</v>
      </c>
      <c r="G61">
        <f>-MAX(MIN(20,20-10*LOG10(2*Masks[[#This Row],[f]]/480000000)),12-3)</f>
        <v>-9.4884747755261873</v>
      </c>
      <c r="H61">
        <f>-MAX(MIN(20,20-10*LOG10(2*Masks[[#This Row],[f]]/480000000)),12-3)</f>
        <v>-9.4884747755261873</v>
      </c>
      <c r="I61">
        <f>10*LOG10(POWER(10,Tx_power_us/10)/F_Nyquist_us)+IF(Masks[[#This Row],[f]]&gt;F_Nyquist_us,-50)</f>
        <v>-98.470325397914564</v>
      </c>
      <c r="J61" s="3">
        <f>10*LOG10(POWER(10,Tx_power_ds/10)/F_Nyquist_ds)+IF(Masks[[#This Row],[f]]&gt;F_Nyquist_ds,-50)</f>
        <v>-98.470325397914564</v>
      </c>
      <c r="K61" s="1">
        <f>20*LOG10(ABS(SIN(PI()*Masks[[#This Row],[f]]/Config!$B$41/2000000000)/(PI()*Masks[[#This Row],[f]]/Config!$B$41/2000000000)))+Tx_power_us-10*LOG10(F_Nyquist_us)+1.11</f>
        <v>-97.893567185280162</v>
      </c>
      <c r="L61" s="1">
        <f>20*LOG10(ABS(SIN(PI()*Masks[[#This Row],[f]]/Config!$B$41/2000000000)/(PI()*Masks[[#This Row],[f]]/Config!$B$41/2000000000)))+Tx_power_ds-10*LOG10(F_Nyquist_ds)+1.11</f>
        <v>-97.893567185280162</v>
      </c>
      <c r="M61" s="1">
        <f>10*LOG10(1/(1+(Masks[[#This Row],[f]]/Config!$B$41/1000000000)^6))+Tx_power_us-10*LOG10(F_Nyquist_us)+0.45</f>
        <v>-98.034227368764817</v>
      </c>
      <c r="N61" s="1">
        <f>10*LOG10(1/(1+(Masks[[#This Row],[f]]/Config!$C$41/1000000000)^6))+Tx_power_ds-10*LOG10(F_Nyquist_ds)+0.45</f>
        <v>-98.034227368764817</v>
      </c>
      <c r="O61" s="3">
        <f>IF(Masks[[#This Row],[f]]&gt;F_Nyquist_us,0,1)</f>
        <v>1</v>
      </c>
      <c r="P61" s="3">
        <f>IF(Masks[[#This Row],[f]]&gt;F_Nyquist_ds,0,1)</f>
        <v>1</v>
      </c>
      <c r="Q61" s="2">
        <f>Config!B$40</f>
        <v>-41.640813746660612</v>
      </c>
      <c r="R61" s="3">
        <f>IF(Config!B$8&gt;0,10*LOG10($X$1*Masks[[#This Row],[f]]+Config!B$8*0.00073),-1000)</f>
        <v>-13.114022249188302</v>
      </c>
      <c r="S61" s="3">
        <f>10*LOG10((10^(Masks[[#This Row],[wire_echo]]/10))+(10^(Masks[[#This Row],[connector_echo]]/10)))</f>
        <v>-13.10792967961209</v>
      </c>
      <c r="T61" s="54"/>
      <c r="U61" s="54"/>
    </row>
    <row r="62" spans="1:21" x14ac:dyDescent="0.25">
      <c r="A62" s="2">
        <v>-97.91172282594674</v>
      </c>
      <c r="B62" s="2">
        <v>-97.91172282594674</v>
      </c>
      <c r="D62">
        <f>Calculate[[#This Row],[Freq]]</f>
        <v>2745000000</v>
      </c>
      <c r="E62" s="2">
        <f>MIN(-90, -89-Masks[[#This Row],[f]]/(600000000*S_ch_us),-82-Masks[[#This Row],[f]]/(250000000*S_ch_us))-K_ch_UPSD_us</f>
        <v>-94.809400086720373</v>
      </c>
      <c r="F62" s="2">
        <f>MIN(-90, -89-Masks[[#This Row],[f]]/(600000000*S_ch_ds),-82-Masks[[#This Row],[f]]/(250000000*S_ch_ds))-K_ch_UPSD_ds</f>
        <v>-94.809400086720373</v>
      </c>
      <c r="G62">
        <f>-MAX(MIN(20,20-10*LOG10(2*Masks[[#This Row],[f]]/480000000)),12-3)</f>
        <v>-9.4166889292549527</v>
      </c>
      <c r="H62">
        <f>-MAX(MIN(20,20-10*LOG10(2*Masks[[#This Row],[f]]/480000000)),12-3)</f>
        <v>-9.4166889292549527</v>
      </c>
      <c r="I62">
        <f>10*LOG10(POWER(10,Tx_power_us/10)/F_Nyquist_us)+IF(Masks[[#This Row],[f]]&gt;F_Nyquist_us,-50)</f>
        <v>-98.470325397914564</v>
      </c>
      <c r="J62" s="3">
        <f>10*LOG10(POWER(10,Tx_power_ds/10)/F_Nyquist_ds)+IF(Masks[[#This Row],[f]]&gt;F_Nyquist_ds,-50)</f>
        <v>-98.470325397914564</v>
      </c>
      <c r="K62" s="1">
        <f>20*LOG10(ABS(SIN(PI()*Masks[[#This Row],[f]]/Config!$B$41/2000000000)/(PI()*Masks[[#This Row],[f]]/Config!$B$41/2000000000)))+Tx_power_us-10*LOG10(F_Nyquist_us)+1.11</f>
        <v>-97.91172282594674</v>
      </c>
      <c r="L62" s="1">
        <f>20*LOG10(ABS(SIN(PI()*Masks[[#This Row],[f]]/Config!$B$41/2000000000)/(PI()*Masks[[#This Row],[f]]/Config!$B$41/2000000000)))+Tx_power_ds-10*LOG10(F_Nyquist_ds)+1.11</f>
        <v>-97.91172282594674</v>
      </c>
      <c r="M62" s="1">
        <f>10*LOG10(1/(1+(Masks[[#This Row],[f]]/Config!$B$41/1000000000)^6))+Tx_power_us-10*LOG10(F_Nyquist_us)+0.45</f>
        <v>-98.035674235738483</v>
      </c>
      <c r="N62" s="1">
        <f>10*LOG10(1/(1+(Masks[[#This Row],[f]]/Config!$C$41/1000000000)^6))+Tx_power_ds-10*LOG10(F_Nyquist_ds)+0.45</f>
        <v>-98.035674235738483</v>
      </c>
      <c r="O62" s="3">
        <f>IF(Masks[[#This Row],[f]]&gt;F_Nyquist_us,0,1)</f>
        <v>1</v>
      </c>
      <c r="P62" s="3">
        <f>IF(Masks[[#This Row],[f]]&gt;F_Nyquist_ds,0,1)</f>
        <v>1</v>
      </c>
      <c r="Q62" s="2">
        <f>Config!B$40</f>
        <v>-41.640813746660612</v>
      </c>
      <c r="R62" s="3">
        <f>IF(Config!B$8&gt;0,10*LOG10($X$1*Masks[[#This Row],[f]]+Config!B$8*0.00073),-1000)</f>
        <v>-13.046496824305711</v>
      </c>
      <c r="S62" s="3">
        <f>10*LOG10((10^(Masks[[#This Row],[wire_echo]]/10))+(10^(Masks[[#This Row],[connector_echo]]/10)))</f>
        <v>-13.040498186329222</v>
      </c>
      <c r="T62" s="54"/>
      <c r="U62" s="54"/>
    </row>
    <row r="63" spans="1:21" x14ac:dyDescent="0.25">
      <c r="A63" s="2">
        <v>-97.930194474922601</v>
      </c>
      <c r="B63" s="2">
        <v>-97.930194474922601</v>
      </c>
      <c r="D63">
        <f>Calculate[[#This Row],[Freq]]</f>
        <v>2790000000</v>
      </c>
      <c r="E63" s="2">
        <f>MIN(-90, -89-Masks[[#This Row],[f]]/(600000000*S_ch_us),-82-Masks[[#This Row],[f]]/(250000000*S_ch_us))-K_ch_UPSD_us</f>
        <v>-94.839400086720374</v>
      </c>
      <c r="F63" s="2">
        <f>MIN(-90, -89-Masks[[#This Row],[f]]/(600000000*S_ch_ds),-82-Masks[[#This Row],[f]]/(250000000*S_ch_ds))-K_ch_UPSD_ds</f>
        <v>-94.839400086720374</v>
      </c>
      <c r="G63">
        <f>-MAX(MIN(20,20-10*LOG10(2*Masks[[#This Row],[f]]/480000000)),12-3)</f>
        <v>-9.3460703843800843</v>
      </c>
      <c r="H63">
        <f>-MAX(MIN(20,20-10*LOG10(2*Masks[[#This Row],[f]]/480000000)),12-3)</f>
        <v>-9.3460703843800843</v>
      </c>
      <c r="I63">
        <f>10*LOG10(POWER(10,Tx_power_us/10)/F_Nyquist_us)+IF(Masks[[#This Row],[f]]&gt;F_Nyquist_us,-50)</f>
        <v>-98.470325397914564</v>
      </c>
      <c r="J63" s="3">
        <f>10*LOG10(POWER(10,Tx_power_ds/10)/F_Nyquist_ds)+IF(Masks[[#This Row],[f]]&gt;F_Nyquist_ds,-50)</f>
        <v>-98.470325397914564</v>
      </c>
      <c r="K63" s="1">
        <f>20*LOG10(ABS(SIN(PI()*Masks[[#This Row],[f]]/Config!$B$41/2000000000)/(PI()*Masks[[#This Row],[f]]/Config!$B$41/2000000000)))+Tx_power_us-10*LOG10(F_Nyquist_us)+1.11</f>
        <v>-97.930194474922601</v>
      </c>
      <c r="L63" s="1">
        <f>20*LOG10(ABS(SIN(PI()*Masks[[#This Row],[f]]/Config!$B$41/2000000000)/(PI()*Masks[[#This Row],[f]]/Config!$B$41/2000000000)))+Tx_power_ds-10*LOG10(F_Nyquist_ds)+1.11</f>
        <v>-97.930194474922601</v>
      </c>
      <c r="M63" s="1">
        <f>10*LOG10(1/(1+(Masks[[#This Row],[f]]/Config!$B$41/1000000000)^6))+Tx_power_us-10*LOG10(F_Nyquist_us)+0.45</f>
        <v>-98.037244140408703</v>
      </c>
      <c r="N63" s="1">
        <f>10*LOG10(1/(1+(Masks[[#This Row],[f]]/Config!$C$41/1000000000)^6))+Tx_power_ds-10*LOG10(F_Nyquist_ds)+0.45</f>
        <v>-98.037244140408703</v>
      </c>
      <c r="O63" s="3">
        <f>IF(Masks[[#This Row],[f]]&gt;F_Nyquist_us,0,1)</f>
        <v>1</v>
      </c>
      <c r="P63" s="3">
        <f>IF(Masks[[#This Row],[f]]&gt;F_Nyquist_ds,0,1)</f>
        <v>1</v>
      </c>
      <c r="Q63" s="2">
        <f>Config!B$40</f>
        <v>-41.640813746660612</v>
      </c>
      <c r="R63" s="3">
        <f>IF(Config!B$8&gt;0,10*LOG10($X$1*Masks[[#This Row],[f]]+Config!B$8*0.00073),-1000)</f>
        <v>-12.980005251103632</v>
      </c>
      <c r="S63" s="3">
        <f>10*LOG10((10^(Masks[[#This Row],[wire_echo]]/10))+(10^(Masks[[#This Row],[connector_echo]]/10)))</f>
        <v>-12.974097692340184</v>
      </c>
      <c r="T63" s="54"/>
      <c r="U63" s="54"/>
    </row>
    <row r="64" spans="1:21" x14ac:dyDescent="0.25">
      <c r="A64" s="2">
        <v>-97.948982955587496</v>
      </c>
      <c r="B64" s="2">
        <v>-97.948982955587496</v>
      </c>
      <c r="D64">
        <f>Calculate[[#This Row],[Freq]]</f>
        <v>2835000000</v>
      </c>
      <c r="E64" s="2">
        <f>MIN(-90, -89-Masks[[#This Row],[f]]/(600000000*S_ch_us),-82-Masks[[#This Row],[f]]/(250000000*S_ch_us))-K_ch_UPSD_us</f>
        <v>-94.869400086720375</v>
      </c>
      <c r="F64" s="2">
        <f>MIN(-90, -89-Masks[[#This Row],[f]]/(600000000*S_ch_ds),-82-Masks[[#This Row],[f]]/(250000000*S_ch_ds))-K_ch_UPSD_ds</f>
        <v>-94.869400086720375</v>
      </c>
      <c r="G64">
        <f>-MAX(MIN(20,20-10*LOG10(2*Masks[[#This Row],[f]]/480000000)),12-3)</f>
        <v>-9.2765817848268064</v>
      </c>
      <c r="H64">
        <f>-MAX(MIN(20,20-10*LOG10(2*Masks[[#This Row],[f]]/480000000)),12-3)</f>
        <v>-9.2765817848268064</v>
      </c>
      <c r="I64">
        <f>10*LOG10(POWER(10,Tx_power_us/10)/F_Nyquist_us)+IF(Masks[[#This Row],[f]]&gt;F_Nyquist_us,-50)</f>
        <v>-98.470325397914564</v>
      </c>
      <c r="J64" s="3">
        <f>10*LOG10(POWER(10,Tx_power_ds/10)/F_Nyquist_ds)+IF(Masks[[#This Row],[f]]&gt;F_Nyquist_ds,-50)</f>
        <v>-98.470325397914564</v>
      </c>
      <c r="K64" s="1">
        <f>20*LOG10(ABS(SIN(PI()*Masks[[#This Row],[f]]/Config!$B$41/2000000000)/(PI()*Masks[[#This Row],[f]]/Config!$B$41/2000000000)))+Tx_power_us-10*LOG10(F_Nyquist_us)+1.11</f>
        <v>-97.948982955587496</v>
      </c>
      <c r="L64" s="1">
        <f>20*LOG10(ABS(SIN(PI()*Masks[[#This Row],[f]]/Config!$B$41/2000000000)/(PI()*Masks[[#This Row],[f]]/Config!$B$41/2000000000)))+Tx_power_ds-10*LOG10(F_Nyquist_ds)+1.11</f>
        <v>-97.948982955587496</v>
      </c>
      <c r="M64" s="1">
        <f>10*LOG10(1/(1+(Masks[[#This Row],[f]]/Config!$B$41/1000000000)^6))+Tx_power_us-10*LOG10(F_Nyquist_us)+0.45</f>
        <v>-98.038945245723298</v>
      </c>
      <c r="N64" s="1">
        <f>10*LOG10(1/(1+(Masks[[#This Row],[f]]/Config!$C$41/1000000000)^6))+Tx_power_ds-10*LOG10(F_Nyquist_ds)+0.45</f>
        <v>-98.038945245723298</v>
      </c>
      <c r="O64" s="3">
        <f>IF(Masks[[#This Row],[f]]&gt;F_Nyquist_us,0,1)</f>
        <v>1</v>
      </c>
      <c r="P64" s="3">
        <f>IF(Masks[[#This Row],[f]]&gt;F_Nyquist_ds,0,1)</f>
        <v>1</v>
      </c>
      <c r="Q64" s="2">
        <f>Config!B$40</f>
        <v>-41.640813746660612</v>
      </c>
      <c r="R64" s="3">
        <f>IF(Config!B$8&gt;0,10*LOG10($X$1*Masks[[#This Row],[f]]+Config!B$8*0.00073),-1000)</f>
        <v>-12.914516348694391</v>
      </c>
      <c r="S64" s="3">
        <f>10*LOG10((10^(Masks[[#This Row],[wire_echo]]/10))+(10^(Masks[[#This Row],[connector_echo]]/10)))</f>
        <v>-12.908697144740195</v>
      </c>
      <c r="T64" s="54"/>
      <c r="U64" s="54"/>
    </row>
    <row r="65" spans="1:21" x14ac:dyDescent="0.25">
      <c r="A65" s="2">
        <v>-97.96808910818352</v>
      </c>
      <c r="B65" s="2">
        <v>-97.96808910818352</v>
      </c>
      <c r="D65">
        <f>Calculate[[#This Row],[Freq]]</f>
        <v>2880000000</v>
      </c>
      <c r="E65" s="2">
        <f>MIN(-90, -89-Masks[[#This Row],[f]]/(600000000*S_ch_us),-82-Masks[[#This Row],[f]]/(250000000*S_ch_us))-K_ch_UPSD_us</f>
        <v>-94.899400086720377</v>
      </c>
      <c r="F65" s="2">
        <f>MIN(-90, -89-Masks[[#This Row],[f]]/(600000000*S_ch_ds),-82-Masks[[#This Row],[f]]/(250000000*S_ch_ds))-K_ch_UPSD_ds</f>
        <v>-94.899400086720377</v>
      </c>
      <c r="G65">
        <f>-MAX(MIN(20,20-10*LOG10(2*Masks[[#This Row],[f]]/480000000)),12-3)</f>
        <v>-9.2081875395237507</v>
      </c>
      <c r="H65">
        <f>-MAX(MIN(20,20-10*LOG10(2*Masks[[#This Row],[f]]/480000000)),12-3)</f>
        <v>-9.2081875395237507</v>
      </c>
      <c r="I65">
        <f>10*LOG10(POWER(10,Tx_power_us/10)/F_Nyquist_us)+IF(Masks[[#This Row],[f]]&gt;F_Nyquist_us,-50)</f>
        <v>-98.470325397914564</v>
      </c>
      <c r="J65" s="3">
        <f>10*LOG10(POWER(10,Tx_power_ds/10)/F_Nyquist_ds)+IF(Masks[[#This Row],[f]]&gt;F_Nyquist_ds,-50)</f>
        <v>-98.470325397914564</v>
      </c>
      <c r="K65" s="1">
        <f>20*LOG10(ABS(SIN(PI()*Masks[[#This Row],[f]]/Config!$B$41/2000000000)/(PI()*Masks[[#This Row],[f]]/Config!$B$41/2000000000)))+Tx_power_us-10*LOG10(F_Nyquist_us)+1.11</f>
        <v>-97.96808910818352</v>
      </c>
      <c r="L65" s="1">
        <f>20*LOG10(ABS(SIN(PI()*Masks[[#This Row],[f]]/Config!$B$41/2000000000)/(PI()*Masks[[#This Row],[f]]/Config!$B$41/2000000000)))+Tx_power_ds-10*LOG10(F_Nyquist_ds)+1.11</f>
        <v>-97.96808910818352</v>
      </c>
      <c r="M65" s="1">
        <f>10*LOG10(1/(1+(Masks[[#This Row],[f]]/Config!$B$41/1000000000)^6))+Tx_power_us-10*LOG10(F_Nyquist_us)+0.45</f>
        <v>-98.040786101429234</v>
      </c>
      <c r="N65" s="1">
        <f>10*LOG10(1/(1+(Masks[[#This Row],[f]]/Config!$C$41/1000000000)^6))+Tx_power_ds-10*LOG10(F_Nyquist_ds)+0.45</f>
        <v>-98.040786101429234</v>
      </c>
      <c r="O65" s="3">
        <f>IF(Masks[[#This Row],[f]]&gt;F_Nyquist_us,0,1)</f>
        <v>1</v>
      </c>
      <c r="P65" s="3">
        <f>IF(Masks[[#This Row],[f]]&gt;F_Nyquist_ds,0,1)</f>
        <v>1</v>
      </c>
      <c r="Q65" s="2">
        <f>Config!B$40</f>
        <v>-41.640813746660612</v>
      </c>
      <c r="R65" s="3">
        <f>IF(Config!B$8&gt;0,10*LOG10($X$1*Masks[[#This Row],[f]]+Config!B$8*0.00073),-1000)</f>
        <v>-12.850000325879575</v>
      </c>
      <c r="S65" s="3">
        <f>10*LOG10((10^(Masks[[#This Row],[wire_echo]]/10))+(10^(Masks[[#This Row],[connector_echo]]/10)))</f>
        <v>-12.844266872769994</v>
      </c>
      <c r="T65" s="54"/>
      <c r="U65" s="54"/>
    </row>
    <row r="66" spans="1:21" x14ac:dyDescent="0.25">
      <c r="A66" s="2">
        <v>-97.987513790003149</v>
      </c>
      <c r="B66" s="2">
        <v>-97.987513790003149</v>
      </c>
      <c r="D66">
        <f>Calculate[[#This Row],[Freq]]</f>
        <v>2925000000</v>
      </c>
      <c r="E66" s="2">
        <f>MIN(-90, -89-Masks[[#This Row],[f]]/(600000000*S_ch_us),-82-Masks[[#This Row],[f]]/(250000000*S_ch_us))-K_ch_UPSD_us</f>
        <v>-94.929400086720378</v>
      </c>
      <c r="F66" s="2">
        <f>MIN(-90, -89-Masks[[#This Row],[f]]/(600000000*S_ch_ds),-82-Masks[[#This Row],[f]]/(250000000*S_ch_ds))-K_ch_UPSD_ds</f>
        <v>-94.929400086720378</v>
      </c>
      <c r="G66">
        <f>-MAX(MIN(20,20-10*LOG10(2*Masks[[#This Row],[f]]/480000000)),12-3)</f>
        <v>-9.1408537129340672</v>
      </c>
      <c r="H66">
        <f>-MAX(MIN(20,20-10*LOG10(2*Masks[[#This Row],[f]]/480000000)),12-3)</f>
        <v>-9.1408537129340672</v>
      </c>
      <c r="I66">
        <f>10*LOG10(POWER(10,Tx_power_us/10)/F_Nyquist_us)+IF(Masks[[#This Row],[f]]&gt;F_Nyquist_us,-50)</f>
        <v>-98.470325397914564</v>
      </c>
      <c r="J66" s="3">
        <f>10*LOG10(POWER(10,Tx_power_ds/10)/F_Nyquist_ds)+IF(Masks[[#This Row],[f]]&gt;F_Nyquist_ds,-50)</f>
        <v>-98.470325397914564</v>
      </c>
      <c r="K66" s="1">
        <f>20*LOG10(ABS(SIN(PI()*Masks[[#This Row],[f]]/Config!$B$41/2000000000)/(PI()*Masks[[#This Row],[f]]/Config!$B$41/2000000000)))+Tx_power_us-10*LOG10(F_Nyquist_us)+1.11</f>
        <v>-97.987513790003149</v>
      </c>
      <c r="L66" s="1">
        <f>20*LOG10(ABS(SIN(PI()*Masks[[#This Row],[f]]/Config!$B$41/2000000000)/(PI()*Masks[[#This Row],[f]]/Config!$B$41/2000000000)))+Tx_power_ds-10*LOG10(F_Nyquist_ds)+1.11</f>
        <v>-97.987513790003149</v>
      </c>
      <c r="M66" s="1">
        <f>10*LOG10(1/(1+(Masks[[#This Row],[f]]/Config!$B$41/1000000000)^6))+Tx_power_us-10*LOG10(F_Nyquist_us)+0.45</f>
        <v>-98.042775653970367</v>
      </c>
      <c r="N66" s="1">
        <f>10*LOG10(1/(1+(Masks[[#This Row],[f]]/Config!$C$41/1000000000)^6))+Tx_power_ds-10*LOG10(F_Nyquist_ds)+0.45</f>
        <v>-98.042775653970367</v>
      </c>
      <c r="O66" s="3">
        <f>IF(Masks[[#This Row],[f]]&gt;F_Nyquist_us,0,1)</f>
        <v>1</v>
      </c>
      <c r="P66" s="3">
        <f>IF(Masks[[#This Row],[f]]&gt;F_Nyquist_ds,0,1)</f>
        <v>1</v>
      </c>
      <c r="Q66" s="2">
        <f>Config!B$40</f>
        <v>-41.640813746660612</v>
      </c>
      <c r="R66" s="3">
        <f>IF(Config!B$8&gt;0,10*LOG10($X$1*Masks[[#This Row],[f]]+Config!B$8*0.00073),-1000)</f>
        <v>-12.78642869977543</v>
      </c>
      <c r="S66" s="3">
        <f>10*LOG10((10^(Masks[[#This Row],[wire_echo]]/10))+(10^(Masks[[#This Row],[connector_echo]]/10)))</f>
        <v>-12.78077850698898</v>
      </c>
      <c r="T66" s="54"/>
      <c r="U66" s="54"/>
    </row>
    <row r="67" spans="1:21" x14ac:dyDescent="0.25">
      <c r="A67" s="2">
        <v>-98.007257875581942</v>
      </c>
      <c r="B67" s="2">
        <v>-98.007257875581942</v>
      </c>
      <c r="D67">
        <f>Calculate[[#This Row],[Freq]]</f>
        <v>2970000000</v>
      </c>
      <c r="E67" s="2">
        <f>MIN(-90, -89-Masks[[#This Row],[f]]/(600000000*S_ch_us),-82-Masks[[#This Row],[f]]/(250000000*S_ch_us))-K_ch_UPSD_us</f>
        <v>-94.959400086720379</v>
      </c>
      <c r="F67" s="2">
        <f>MIN(-90, -89-Masks[[#This Row],[f]]/(600000000*S_ch_ds),-82-Masks[[#This Row],[f]]/(250000000*S_ch_ds))-K_ch_UPSD_ds</f>
        <v>-94.959400086720379</v>
      </c>
      <c r="G67">
        <f>-MAX(MIN(20,20-10*LOG10(2*Masks[[#This Row],[f]]/480000000)),12-3)</f>
        <v>-9.0745479239439355</v>
      </c>
      <c r="H67">
        <f>-MAX(MIN(20,20-10*LOG10(2*Masks[[#This Row],[f]]/480000000)),12-3)</f>
        <v>-9.0745479239439355</v>
      </c>
      <c r="I67">
        <f>10*LOG10(POWER(10,Tx_power_us/10)/F_Nyquist_us)+IF(Masks[[#This Row],[f]]&gt;F_Nyquist_us,-50)</f>
        <v>-98.470325397914564</v>
      </c>
      <c r="J67" s="3">
        <f>10*LOG10(POWER(10,Tx_power_ds/10)/F_Nyquist_ds)+IF(Masks[[#This Row],[f]]&gt;F_Nyquist_ds,-50)</f>
        <v>-98.470325397914564</v>
      </c>
      <c r="K67" s="1">
        <f>20*LOG10(ABS(SIN(PI()*Masks[[#This Row],[f]]/Config!$B$41/2000000000)/(PI()*Masks[[#This Row],[f]]/Config!$B$41/2000000000)))+Tx_power_us-10*LOG10(F_Nyquist_us)+1.11</f>
        <v>-98.007257875581942</v>
      </c>
      <c r="L67" s="1">
        <f>20*LOG10(ABS(SIN(PI()*Masks[[#This Row],[f]]/Config!$B$41/2000000000)/(PI()*Masks[[#This Row],[f]]/Config!$B$41/2000000000)))+Tx_power_ds-10*LOG10(F_Nyquist_ds)+1.11</f>
        <v>-98.007257875581942</v>
      </c>
      <c r="M67" s="1">
        <f>10*LOG10(1/(1+(Masks[[#This Row],[f]]/Config!$B$41/1000000000)^6))+Tx_power_us-10*LOG10(F_Nyquist_us)+0.45</f>
        <v>-98.044923256196967</v>
      </c>
      <c r="N67" s="1">
        <f>10*LOG10(1/(1+(Masks[[#This Row],[f]]/Config!$C$41/1000000000)^6))+Tx_power_ds-10*LOG10(F_Nyquist_ds)+0.45</f>
        <v>-98.044923256196967</v>
      </c>
      <c r="O67" s="3">
        <f>IF(Masks[[#This Row],[f]]&gt;F_Nyquist_us,0,1)</f>
        <v>1</v>
      </c>
      <c r="P67" s="3">
        <f>IF(Masks[[#This Row],[f]]&gt;F_Nyquist_ds,0,1)</f>
        <v>1</v>
      </c>
      <c r="Q67" s="2">
        <f>Config!B$40</f>
        <v>-41.640813746660612</v>
      </c>
      <c r="R67" s="3">
        <f>IF(Config!B$8&gt;0,10*LOG10($X$1*Masks[[#This Row],[f]]+Config!B$8*0.00073),-1000)</f>
        <v>-12.723774220308627</v>
      </c>
      <c r="S67" s="3">
        <f>10*LOG10((10^(Masks[[#This Row],[wire_echo]]/10))+(10^(Masks[[#This Row],[connector_echo]]/10)))</f>
        <v>-12.71820490427169</v>
      </c>
      <c r="T67" s="54"/>
      <c r="U67" s="54"/>
    </row>
    <row r="68" spans="1:21" x14ac:dyDescent="0.25">
      <c r="A68" s="2">
        <v>-98.027322256896028</v>
      </c>
      <c r="B68" s="2">
        <v>-98.027322256896028</v>
      </c>
      <c r="D68">
        <f>Calculate[[#This Row],[Freq]]</f>
        <v>3015000000</v>
      </c>
      <c r="E68" s="2">
        <f>MIN(-90, -89-Masks[[#This Row],[f]]/(600000000*S_ch_us),-82-Masks[[#This Row],[f]]/(250000000*S_ch_us))-K_ch_UPSD_us</f>
        <v>-94.98940008672038</v>
      </c>
      <c r="F68" s="2">
        <f>MIN(-90, -89-Masks[[#This Row],[f]]/(600000000*S_ch_ds),-82-Masks[[#This Row],[f]]/(250000000*S_ch_ds))-K_ch_UPSD_ds</f>
        <v>-94.98940008672038</v>
      </c>
      <c r="G68">
        <f>-MAX(MIN(20,20-10*LOG10(2*Masks[[#This Row],[f]]/480000000)),12-3)</f>
        <v>-9.0092392523543587</v>
      </c>
      <c r="H68">
        <f>-MAX(MIN(20,20-10*LOG10(2*Masks[[#This Row],[f]]/480000000)),12-3)</f>
        <v>-9.0092392523543587</v>
      </c>
      <c r="I68">
        <f>10*LOG10(POWER(10,Tx_power_us/10)/F_Nyquist_us)+IF(Masks[[#This Row],[f]]&gt;F_Nyquist_us,-50)</f>
        <v>-98.470325397914564</v>
      </c>
      <c r="J68" s="3">
        <f>10*LOG10(POWER(10,Tx_power_ds/10)/F_Nyquist_ds)+IF(Masks[[#This Row],[f]]&gt;F_Nyquist_ds,-50)</f>
        <v>-98.470325397914564</v>
      </c>
      <c r="K68" s="1">
        <f>20*LOG10(ABS(SIN(PI()*Masks[[#This Row],[f]]/Config!$B$41/2000000000)/(PI()*Masks[[#This Row],[f]]/Config!$B$41/2000000000)))+Tx_power_us-10*LOG10(F_Nyquist_us)+1.11</f>
        <v>-98.027322256896028</v>
      </c>
      <c r="L68" s="1">
        <f>20*LOG10(ABS(SIN(PI()*Masks[[#This Row],[f]]/Config!$B$41/2000000000)/(PI()*Masks[[#This Row],[f]]/Config!$B$41/2000000000)))+Tx_power_ds-10*LOG10(F_Nyquist_ds)+1.11</f>
        <v>-98.027322256896028</v>
      </c>
      <c r="M68" s="1">
        <f>10*LOG10(1/(1+(Masks[[#This Row],[f]]/Config!$B$41/1000000000)^6))+Tx_power_us-10*LOG10(F_Nyquist_us)+0.45</f>
        <v>-98.047238676849432</v>
      </c>
      <c r="N68" s="1">
        <f>10*LOG10(1/(1+(Masks[[#This Row],[f]]/Config!$C$41/1000000000)^6))+Tx_power_ds-10*LOG10(F_Nyquist_ds)+0.45</f>
        <v>-98.047238676849432</v>
      </c>
      <c r="O68" s="3">
        <f>IF(Masks[[#This Row],[f]]&gt;F_Nyquist_us,0,1)</f>
        <v>1</v>
      </c>
      <c r="P68" s="3">
        <f>IF(Masks[[#This Row],[f]]&gt;F_Nyquist_ds,0,1)</f>
        <v>1</v>
      </c>
      <c r="Q68" s="2">
        <f>Config!B$40</f>
        <v>-41.640813746660612</v>
      </c>
      <c r="R68" s="3">
        <f>IF(Config!B$8&gt;0,10*LOG10($X$1*Masks[[#This Row],[f]]+Config!B$8*0.00073),-1000)</f>
        <v>-12.662010800081445</v>
      </c>
      <c r="S68" s="3">
        <f>10*LOG10((10^(Masks[[#This Row],[wire_echo]]/10))+(10^(Masks[[#This Row],[connector_echo]]/10)))</f>
        <v>-12.656520078131264</v>
      </c>
      <c r="T68" s="54"/>
      <c r="U68" s="54"/>
    </row>
    <row r="69" spans="1:21" x14ac:dyDescent="0.25">
      <c r="A69" s="2">
        <v>-98.04770784356468</v>
      </c>
      <c r="B69" s="2">
        <v>-98.04770784356468</v>
      </c>
      <c r="D69">
        <f>Calculate[[#This Row],[Freq]]</f>
        <v>3060000000</v>
      </c>
      <c r="E69" s="2">
        <f>MIN(-90, -89-Masks[[#This Row],[f]]/(600000000*S_ch_us),-82-Masks[[#This Row],[f]]/(250000000*S_ch_us))-K_ch_UPSD_us</f>
        <v>-95.019400086720381</v>
      </c>
      <c r="F69" s="2">
        <f>MIN(-90, -89-Masks[[#This Row],[f]]/(600000000*S_ch_ds),-82-Masks[[#This Row],[f]]/(250000000*S_ch_ds))-K_ch_UPSD_ds</f>
        <v>-95.019400086720381</v>
      </c>
      <c r="G69">
        <f>-MAX(MIN(20,20-10*LOG10(2*Masks[[#This Row],[f]]/480000000)),12-3)</f>
        <v>-9</v>
      </c>
      <c r="H69">
        <f>-MAX(MIN(20,20-10*LOG10(2*Masks[[#This Row],[f]]/480000000)),12-3)</f>
        <v>-9</v>
      </c>
      <c r="I69">
        <f>10*LOG10(POWER(10,Tx_power_us/10)/F_Nyquist_us)+IF(Masks[[#This Row],[f]]&gt;F_Nyquist_us,-50)</f>
        <v>-98.470325397914564</v>
      </c>
      <c r="J69" s="3">
        <f>10*LOG10(POWER(10,Tx_power_ds/10)/F_Nyquist_ds)+IF(Masks[[#This Row],[f]]&gt;F_Nyquist_ds,-50)</f>
        <v>-98.470325397914564</v>
      </c>
      <c r="K69" s="1">
        <f>20*LOG10(ABS(SIN(PI()*Masks[[#This Row],[f]]/Config!$B$41/2000000000)/(PI()*Masks[[#This Row],[f]]/Config!$B$41/2000000000)))+Tx_power_us-10*LOG10(F_Nyquist_us)+1.11</f>
        <v>-98.04770784356468</v>
      </c>
      <c r="L69" s="1">
        <f>20*LOG10(ABS(SIN(PI()*Masks[[#This Row],[f]]/Config!$B$41/2000000000)/(PI()*Masks[[#This Row],[f]]/Config!$B$41/2000000000)))+Tx_power_ds-10*LOG10(F_Nyquist_ds)+1.11</f>
        <v>-98.04770784356468</v>
      </c>
      <c r="M69" s="1">
        <f>10*LOG10(1/(1+(Masks[[#This Row],[f]]/Config!$B$41/1000000000)^6))+Tx_power_us-10*LOG10(F_Nyquist_us)+0.45</f>
        <v>-98.049732109776627</v>
      </c>
      <c r="N69" s="1">
        <f>10*LOG10(1/(1+(Masks[[#This Row],[f]]/Config!$C$41/1000000000)^6))+Tx_power_ds-10*LOG10(F_Nyquist_ds)+0.45</f>
        <v>-98.049732109776627</v>
      </c>
      <c r="O69" s="3">
        <f>IF(Masks[[#This Row],[f]]&gt;F_Nyquist_us,0,1)</f>
        <v>1</v>
      </c>
      <c r="P69" s="3">
        <f>IF(Masks[[#This Row],[f]]&gt;F_Nyquist_ds,0,1)</f>
        <v>1</v>
      </c>
      <c r="Q69" s="2">
        <f>Config!B$40</f>
        <v>-41.640813746660612</v>
      </c>
      <c r="R69" s="3">
        <f>IF(Config!B$8&gt;0,10*LOG10($X$1*Masks[[#This Row],[f]]+Config!B$8*0.00073),-1000)</f>
        <v>-12.601113449154568</v>
      </c>
      <c r="S69" s="3">
        <f>10*LOG10((10^(Masks[[#This Row],[wire_echo]]/10))+(10^(Masks[[#This Row],[connector_echo]]/10)))</f>
        <v>-12.595699133922317</v>
      </c>
      <c r="T69" s="54"/>
      <c r="U69" s="54"/>
    </row>
    <row r="70" spans="1:21" x14ac:dyDescent="0.25">
      <c r="A70" s="2">
        <v>-98.068415563057783</v>
      </c>
      <c r="B70" s="2">
        <v>-98.068415563057783</v>
      </c>
      <c r="D70">
        <f>Calculate[[#This Row],[Freq]]</f>
        <v>3105000000</v>
      </c>
      <c r="E70" s="2">
        <f>MIN(-90, -89-Masks[[#This Row],[f]]/(600000000*S_ch_us),-82-Masks[[#This Row],[f]]/(250000000*S_ch_us))-K_ch_UPSD_us</f>
        <v>-95.049400086720368</v>
      </c>
      <c r="F70" s="2">
        <f>MIN(-90, -89-Masks[[#This Row],[f]]/(600000000*S_ch_ds),-82-Masks[[#This Row],[f]]/(250000000*S_ch_ds))-K_ch_UPSD_ds</f>
        <v>-95.049400086720368</v>
      </c>
      <c r="G70">
        <f>-MAX(MIN(20,20-10*LOG10(2*Masks[[#This Row],[f]]/480000000)),12-3)</f>
        <v>-9</v>
      </c>
      <c r="H70">
        <f>-MAX(MIN(20,20-10*LOG10(2*Masks[[#This Row],[f]]/480000000)),12-3)</f>
        <v>-9</v>
      </c>
      <c r="I70">
        <f>10*LOG10(POWER(10,Tx_power_us/10)/F_Nyquist_us)+IF(Masks[[#This Row],[f]]&gt;F_Nyquist_us,-50)</f>
        <v>-98.470325397914564</v>
      </c>
      <c r="J70" s="3">
        <f>10*LOG10(POWER(10,Tx_power_ds/10)/F_Nyquist_ds)+IF(Masks[[#This Row],[f]]&gt;F_Nyquist_ds,-50)</f>
        <v>-98.470325397914564</v>
      </c>
      <c r="K70" s="1">
        <f>20*LOG10(ABS(SIN(PI()*Masks[[#This Row],[f]]/Config!$B$41/2000000000)/(PI()*Masks[[#This Row],[f]]/Config!$B$41/2000000000)))+Tx_power_us-10*LOG10(F_Nyquist_us)+1.11</f>
        <v>-98.068415563057783</v>
      </c>
      <c r="L70" s="1">
        <f>20*LOG10(ABS(SIN(PI()*Masks[[#This Row],[f]]/Config!$B$41/2000000000)/(PI()*Masks[[#This Row],[f]]/Config!$B$41/2000000000)))+Tx_power_ds-10*LOG10(F_Nyquist_ds)+1.11</f>
        <v>-98.068415563057783</v>
      </c>
      <c r="M70" s="1">
        <f>10*LOG10(1/(1+(Masks[[#This Row],[f]]/Config!$B$41/1000000000)^6))+Tx_power_us-10*LOG10(F_Nyquist_us)+0.45</f>
        <v>-98.052414182846078</v>
      </c>
      <c r="N70" s="1">
        <f>10*LOG10(1/(1+(Masks[[#This Row],[f]]/Config!$C$41/1000000000)^6))+Tx_power_ds-10*LOG10(F_Nyquist_ds)+0.45</f>
        <v>-98.052414182846078</v>
      </c>
      <c r="O70" s="3">
        <f>IF(Masks[[#This Row],[f]]&gt;F_Nyquist_us,0,1)</f>
        <v>1</v>
      </c>
      <c r="P70" s="3">
        <f>IF(Masks[[#This Row],[f]]&gt;F_Nyquist_ds,0,1)</f>
        <v>1</v>
      </c>
      <c r="Q70" s="2">
        <f>Config!B$40</f>
        <v>-41.640813746660612</v>
      </c>
      <c r="R70" s="3">
        <f>IF(Config!B$8&gt;0,10*LOG10($X$1*Masks[[#This Row],[f]]+Config!B$8*0.00073),-1000)</f>
        <v>-12.541058214339461</v>
      </c>
      <c r="S70" s="3">
        <f>10*LOG10((10^(Masks[[#This Row],[wire_echo]]/10))+(10^(Masks[[#This Row],[connector_echo]]/10)))</f>
        <v>-12.535718208518743</v>
      </c>
      <c r="T70" s="54"/>
      <c r="U70" s="54"/>
    </row>
    <row r="71" spans="1:21" x14ac:dyDescent="0.25">
      <c r="A71" s="2">
        <v>-98.089446360908553</v>
      </c>
      <c r="B71" s="2">
        <v>-98.089446360908553</v>
      </c>
      <c r="D71">
        <f>Calculate[[#This Row],[Freq]]</f>
        <v>3150000000</v>
      </c>
      <c r="E71" s="2">
        <f>MIN(-90, -89-Masks[[#This Row],[f]]/(600000000*S_ch_us),-82-Masks[[#This Row],[f]]/(250000000*S_ch_us))-K_ch_UPSD_us</f>
        <v>-95.079400086720369</v>
      </c>
      <c r="F71" s="2">
        <f>MIN(-90, -89-Masks[[#This Row],[f]]/(600000000*S_ch_ds),-82-Masks[[#This Row],[f]]/(250000000*S_ch_ds))-K_ch_UPSD_ds</f>
        <v>-95.079400086720369</v>
      </c>
      <c r="G71">
        <f>-MAX(MIN(20,20-10*LOG10(2*Masks[[#This Row],[f]]/480000000)),12-3)</f>
        <v>-9</v>
      </c>
      <c r="H71">
        <f>-MAX(MIN(20,20-10*LOG10(2*Masks[[#This Row],[f]]/480000000)),12-3)</f>
        <v>-9</v>
      </c>
      <c r="I71">
        <f>10*LOG10(POWER(10,Tx_power_us/10)/F_Nyquist_us)+IF(Masks[[#This Row],[f]]&gt;F_Nyquist_us,-50)</f>
        <v>-98.470325397914564</v>
      </c>
      <c r="J71" s="3">
        <f>10*LOG10(POWER(10,Tx_power_ds/10)/F_Nyquist_ds)+IF(Masks[[#This Row],[f]]&gt;F_Nyquist_ds,-50)</f>
        <v>-98.470325397914564</v>
      </c>
      <c r="K71" s="1">
        <f>20*LOG10(ABS(SIN(PI()*Masks[[#This Row],[f]]/Config!$B$41/2000000000)/(PI()*Masks[[#This Row],[f]]/Config!$B$41/2000000000)))+Tx_power_us-10*LOG10(F_Nyquist_us)+1.11</f>
        <v>-98.089446360908553</v>
      </c>
      <c r="L71" s="1">
        <f>20*LOG10(ABS(SIN(PI()*Masks[[#This Row],[f]]/Config!$B$41/2000000000)/(PI()*Masks[[#This Row],[f]]/Config!$B$41/2000000000)))+Tx_power_ds-10*LOG10(F_Nyquist_ds)+1.11</f>
        <v>-98.089446360908553</v>
      </c>
      <c r="M71" s="1">
        <f>10*LOG10(1/(1+(Masks[[#This Row],[f]]/Config!$B$41/1000000000)^6))+Tx_power_us-10*LOG10(F_Nyquist_us)+0.45</f>
        <v>-98.055295966500879</v>
      </c>
      <c r="N71" s="1">
        <f>10*LOG10(1/(1+(Masks[[#This Row],[f]]/Config!$C$41/1000000000)^6))+Tx_power_ds-10*LOG10(F_Nyquist_ds)+0.45</f>
        <v>-98.055295966500879</v>
      </c>
      <c r="O71" s="3">
        <f>IF(Masks[[#This Row],[f]]&gt;F_Nyquist_us,0,1)</f>
        <v>1</v>
      </c>
      <c r="P71" s="3">
        <f>IF(Masks[[#This Row],[f]]&gt;F_Nyquist_ds,0,1)</f>
        <v>1</v>
      </c>
      <c r="Q71" s="2">
        <f>Config!B$40</f>
        <v>-41.640813746660612</v>
      </c>
      <c r="R71" s="3">
        <f>IF(Config!B$8&gt;0,10*LOG10($X$1*Masks[[#This Row],[f]]+Config!B$8*0.00073),-1000)</f>
        <v>-12.481822122631208</v>
      </c>
      <c r="S71" s="3">
        <f>10*LOG10((10^(Masks[[#This Row],[wire_echo]]/10))+(10^(Masks[[#This Row],[connector_echo]]/10)))</f>
        <v>-12.476554414100704</v>
      </c>
      <c r="T71" s="54"/>
      <c r="U71" s="54"/>
    </row>
    <row r="72" spans="1:21" x14ac:dyDescent="0.25">
      <c r="A72" s="2">
        <v>-98.110801200931533</v>
      </c>
      <c r="B72" s="2">
        <v>-98.110801200931533</v>
      </c>
      <c r="D72">
        <f>Calculate[[#This Row],[Freq]]</f>
        <v>3195000000</v>
      </c>
      <c r="E72" s="2">
        <f>MIN(-90, -89-Masks[[#This Row],[f]]/(600000000*S_ch_us),-82-Masks[[#This Row],[f]]/(250000000*S_ch_us))-K_ch_UPSD_us</f>
        <v>-95.10940008672037</v>
      </c>
      <c r="F72" s="2">
        <f>MIN(-90, -89-Masks[[#This Row],[f]]/(600000000*S_ch_ds),-82-Masks[[#This Row],[f]]/(250000000*S_ch_ds))-K_ch_UPSD_ds</f>
        <v>-95.10940008672037</v>
      </c>
      <c r="G72">
        <f>-MAX(MIN(20,20-10*LOG10(2*Masks[[#This Row],[f]]/480000000)),12-3)</f>
        <v>-9</v>
      </c>
      <c r="H72">
        <f>-MAX(MIN(20,20-10*LOG10(2*Masks[[#This Row],[f]]/480000000)),12-3)</f>
        <v>-9</v>
      </c>
      <c r="I72">
        <f>10*LOG10(POWER(10,Tx_power_us/10)/F_Nyquist_us)+IF(Masks[[#This Row],[f]]&gt;F_Nyquist_us,-50)</f>
        <v>-98.470325397914564</v>
      </c>
      <c r="J72" s="3">
        <f>10*LOG10(POWER(10,Tx_power_ds/10)/F_Nyquist_ds)+IF(Masks[[#This Row],[f]]&gt;F_Nyquist_ds,-50)</f>
        <v>-98.470325397914564</v>
      </c>
      <c r="K72" s="1">
        <f>20*LOG10(ABS(SIN(PI()*Masks[[#This Row],[f]]/Config!$B$41/2000000000)/(PI()*Masks[[#This Row],[f]]/Config!$B$41/2000000000)))+Tx_power_us-10*LOG10(F_Nyquist_us)+1.11</f>
        <v>-98.110801200931533</v>
      </c>
      <c r="L72" s="1">
        <f>20*LOG10(ABS(SIN(PI()*Masks[[#This Row],[f]]/Config!$B$41/2000000000)/(PI()*Masks[[#This Row],[f]]/Config!$B$41/2000000000)))+Tx_power_ds-10*LOG10(F_Nyquist_ds)+1.11</f>
        <v>-98.110801200931533</v>
      </c>
      <c r="M72" s="1">
        <f>10*LOG10(1/(1+(Masks[[#This Row],[f]]/Config!$B$41/1000000000)^6))+Tx_power_us-10*LOG10(F_Nyquist_us)+0.45</f>
        <v>-98.058388981915513</v>
      </c>
      <c r="N72" s="1">
        <f>10*LOG10(1/(1+(Masks[[#This Row],[f]]/Config!$C$41/1000000000)^6))+Tx_power_ds-10*LOG10(F_Nyquist_ds)+0.45</f>
        <v>-98.058388981915513</v>
      </c>
      <c r="O72" s="3">
        <f>IF(Masks[[#This Row],[f]]&gt;F_Nyquist_us,0,1)</f>
        <v>1</v>
      </c>
      <c r="P72" s="3">
        <f>IF(Masks[[#This Row],[f]]&gt;F_Nyquist_ds,0,1)</f>
        <v>1</v>
      </c>
      <c r="Q72" s="2">
        <f>Config!B$40</f>
        <v>-41.640813746660612</v>
      </c>
      <c r="R72" s="3">
        <f>IF(Config!B$8&gt;0,10*LOG10($X$1*Masks[[#This Row],[f]]+Config!B$8*0.00073),-1000)</f>
        <v>-12.423383128447513</v>
      </c>
      <c r="S72" s="3">
        <f>10*LOG10((10^(Masks[[#This Row],[wire_echo]]/10))+(10^(Masks[[#This Row],[connector_echo]]/10)))</f>
        <v>-12.4181857857194</v>
      </c>
      <c r="T72" s="54"/>
      <c r="U72" s="54"/>
    </row>
    <row r="73" spans="1:21" x14ac:dyDescent="0.25">
      <c r="A73" s="2">
        <v>-98.13248106544593</v>
      </c>
      <c r="B73" s="2">
        <v>-98.13248106544593</v>
      </c>
      <c r="D73">
        <f>Calculate[[#This Row],[Freq]]</f>
        <v>3240000000</v>
      </c>
      <c r="E73" s="2">
        <f>MIN(-90, -89-Masks[[#This Row],[f]]/(600000000*S_ch_us),-82-Masks[[#This Row],[f]]/(250000000*S_ch_us))-K_ch_UPSD_us</f>
        <v>-95.139400086720372</v>
      </c>
      <c r="F73" s="2">
        <f>MIN(-90, -89-Masks[[#This Row],[f]]/(600000000*S_ch_ds),-82-Masks[[#This Row],[f]]/(250000000*S_ch_ds))-K_ch_UPSD_ds</f>
        <v>-95.139400086720372</v>
      </c>
      <c r="G73">
        <f>-MAX(MIN(20,20-10*LOG10(2*Masks[[#This Row],[f]]/480000000)),12-3)</f>
        <v>-9</v>
      </c>
      <c r="H73">
        <f>-MAX(MIN(20,20-10*LOG10(2*Masks[[#This Row],[f]]/480000000)),12-3)</f>
        <v>-9</v>
      </c>
      <c r="I73">
        <f>10*LOG10(POWER(10,Tx_power_us/10)/F_Nyquist_us)+IF(Masks[[#This Row],[f]]&gt;F_Nyquist_us,-50)</f>
        <v>-98.470325397914564</v>
      </c>
      <c r="J73" s="3">
        <f>10*LOG10(POWER(10,Tx_power_ds/10)/F_Nyquist_ds)+IF(Masks[[#This Row],[f]]&gt;F_Nyquist_ds,-50)</f>
        <v>-98.470325397914564</v>
      </c>
      <c r="K73" s="1">
        <f>20*LOG10(ABS(SIN(PI()*Masks[[#This Row],[f]]/Config!$B$41/2000000000)/(PI()*Masks[[#This Row],[f]]/Config!$B$41/2000000000)))+Tx_power_us-10*LOG10(F_Nyquist_us)+1.11</f>
        <v>-98.13248106544593</v>
      </c>
      <c r="L73" s="1">
        <f>20*LOG10(ABS(SIN(PI()*Masks[[#This Row],[f]]/Config!$B$41/2000000000)/(PI()*Masks[[#This Row],[f]]/Config!$B$41/2000000000)))+Tx_power_ds-10*LOG10(F_Nyquist_ds)+1.11</f>
        <v>-98.13248106544593</v>
      </c>
      <c r="M73" s="1">
        <f>10*LOG10(1/(1+(Masks[[#This Row],[f]]/Config!$B$41/1000000000)^6))+Tx_power_us-10*LOG10(F_Nyquist_us)+0.45</f>
        <v>-98.061705208699948</v>
      </c>
      <c r="N73" s="1">
        <f>10*LOG10(1/(1+(Masks[[#This Row],[f]]/Config!$C$41/1000000000)^6))+Tx_power_ds-10*LOG10(F_Nyquist_ds)+0.45</f>
        <v>-98.061705208699948</v>
      </c>
      <c r="O73" s="3">
        <f>IF(Masks[[#This Row],[f]]&gt;F_Nyquist_us,0,1)</f>
        <v>1</v>
      </c>
      <c r="P73" s="3">
        <f>IF(Masks[[#This Row],[f]]&gt;F_Nyquist_ds,0,1)</f>
        <v>1</v>
      </c>
      <c r="Q73" s="2">
        <f>Config!B$40</f>
        <v>-41.640813746660612</v>
      </c>
      <c r="R73" s="3">
        <f>IF(Config!B$8&gt;0,10*LOG10($X$1*Masks[[#This Row],[f]]+Config!B$8*0.00073),-1000)</f>
        <v>-12.365720064370628</v>
      </c>
      <c r="S73" s="3">
        <f>10*LOG10((10^(Masks[[#This Row],[wire_echo]]/10))+(10^(Masks[[#This Row],[connector_echo]]/10)))</f>
        <v>-12.360591232338951</v>
      </c>
      <c r="T73" s="54"/>
      <c r="U73" s="54"/>
    </row>
    <row r="74" spans="1:21" x14ac:dyDescent="0.25">
      <c r="A74" s="2">
        <v>-98.154486955504481</v>
      </c>
      <c r="B74" s="2">
        <v>-98.154486955504481</v>
      </c>
      <c r="D74">
        <f>Calculate[[#This Row],[Freq]]</f>
        <v>3285000000</v>
      </c>
      <c r="E74" s="2">
        <f>MIN(-90, -89-Masks[[#This Row],[f]]/(600000000*S_ch_us),-82-Masks[[#This Row],[f]]/(250000000*S_ch_us))-K_ch_UPSD_us</f>
        <v>-95.169400086720373</v>
      </c>
      <c r="F74" s="2">
        <f>MIN(-90, -89-Masks[[#This Row],[f]]/(600000000*S_ch_ds),-82-Masks[[#This Row],[f]]/(250000000*S_ch_ds))-K_ch_UPSD_ds</f>
        <v>-95.169400086720373</v>
      </c>
      <c r="G74">
        <f>-MAX(MIN(20,20-10*LOG10(2*Masks[[#This Row],[f]]/480000000)),12-3)</f>
        <v>-9</v>
      </c>
      <c r="H74">
        <f>-MAX(MIN(20,20-10*LOG10(2*Masks[[#This Row],[f]]/480000000)),12-3)</f>
        <v>-9</v>
      </c>
      <c r="I74">
        <f>10*LOG10(POWER(10,Tx_power_us/10)/F_Nyquist_us)+IF(Masks[[#This Row],[f]]&gt;F_Nyquist_us,-50)</f>
        <v>-98.470325397914564</v>
      </c>
      <c r="J74" s="3">
        <f>10*LOG10(POWER(10,Tx_power_ds/10)/F_Nyquist_ds)+IF(Masks[[#This Row],[f]]&gt;F_Nyquist_ds,-50)</f>
        <v>-98.470325397914564</v>
      </c>
      <c r="K74" s="1">
        <f>20*LOG10(ABS(SIN(PI()*Masks[[#This Row],[f]]/Config!$B$41/2000000000)/(PI()*Masks[[#This Row],[f]]/Config!$B$41/2000000000)))+Tx_power_us-10*LOG10(F_Nyquist_us)+1.11</f>
        <v>-98.154486955504481</v>
      </c>
      <c r="L74" s="1">
        <f>20*LOG10(ABS(SIN(PI()*Masks[[#This Row],[f]]/Config!$B$41/2000000000)/(PI()*Masks[[#This Row],[f]]/Config!$B$41/2000000000)))+Tx_power_ds-10*LOG10(F_Nyquist_ds)+1.11</f>
        <v>-98.154486955504481</v>
      </c>
      <c r="M74" s="1">
        <f>10*LOG10(1/(1+(Masks[[#This Row],[f]]/Config!$B$41/1000000000)^6))+Tx_power_us-10*LOG10(F_Nyquist_us)+0.45</f>
        <v>-98.065257092098364</v>
      </c>
      <c r="N74" s="1">
        <f>10*LOG10(1/(1+(Masks[[#This Row],[f]]/Config!$C$41/1000000000)^6))+Tx_power_ds-10*LOG10(F_Nyquist_ds)+0.45</f>
        <v>-98.065257092098364</v>
      </c>
      <c r="O74" s="3">
        <f>IF(Masks[[#This Row],[f]]&gt;F_Nyquist_us,0,1)</f>
        <v>1</v>
      </c>
      <c r="P74" s="3">
        <f>IF(Masks[[#This Row],[f]]&gt;F_Nyquist_ds,0,1)</f>
        <v>1</v>
      </c>
      <c r="Q74" s="2">
        <f>Config!B$40</f>
        <v>-41.640813746660612</v>
      </c>
      <c r="R74" s="3">
        <f>IF(Config!B$8&gt;0,10*LOG10($X$1*Masks[[#This Row],[f]]+Config!B$8*0.00073),-1000)</f>
        <v>-12.308812595116756</v>
      </c>
      <c r="S74" s="3">
        <f>10*LOG10((10^(Masks[[#This Row],[wire_echo]]/10))+(10^(Masks[[#This Row],[connector_echo]]/10)))</f>
        <v>-12.303750491082431</v>
      </c>
      <c r="T74" s="54"/>
      <c r="U74" s="54"/>
    </row>
    <row r="75" spans="1:21" x14ac:dyDescent="0.25">
      <c r="A75" s="2">
        <v>-98.176819891127963</v>
      </c>
      <c r="B75" s="2">
        <v>-98.176819891127963</v>
      </c>
      <c r="D75">
        <f>Calculate[[#This Row],[Freq]]</f>
        <v>3330000000</v>
      </c>
      <c r="E75" s="2">
        <f>MIN(-90, -89-Masks[[#This Row],[f]]/(600000000*S_ch_us),-82-Masks[[#This Row],[f]]/(250000000*S_ch_us))-K_ch_UPSD_us</f>
        <v>-95.199400086720374</v>
      </c>
      <c r="F75" s="2">
        <f>MIN(-90, -89-Masks[[#This Row],[f]]/(600000000*S_ch_ds),-82-Masks[[#This Row],[f]]/(250000000*S_ch_ds))-K_ch_UPSD_ds</f>
        <v>-95.199400086720374</v>
      </c>
      <c r="G75">
        <f>-MAX(MIN(20,20-10*LOG10(2*Masks[[#This Row],[f]]/480000000)),12-3)</f>
        <v>-9</v>
      </c>
      <c r="H75">
        <f>-MAX(MIN(20,20-10*LOG10(2*Masks[[#This Row],[f]]/480000000)),12-3)</f>
        <v>-9</v>
      </c>
      <c r="I75">
        <f>10*LOG10(POWER(10,Tx_power_us/10)/F_Nyquist_us)+IF(Masks[[#This Row],[f]]&gt;F_Nyquist_us,-50)</f>
        <v>-98.470325397914564</v>
      </c>
      <c r="J75" s="3">
        <f>10*LOG10(POWER(10,Tx_power_ds/10)/F_Nyquist_ds)+IF(Masks[[#This Row],[f]]&gt;F_Nyquist_ds,-50)</f>
        <v>-98.470325397914564</v>
      </c>
      <c r="K75" s="1">
        <f>20*LOG10(ABS(SIN(PI()*Masks[[#This Row],[f]]/Config!$B$41/2000000000)/(PI()*Masks[[#This Row],[f]]/Config!$B$41/2000000000)))+Tx_power_us-10*LOG10(F_Nyquist_us)+1.11</f>
        <v>-98.176819891127963</v>
      </c>
      <c r="L75" s="1">
        <f>20*LOG10(ABS(SIN(PI()*Masks[[#This Row],[f]]/Config!$B$41/2000000000)/(PI()*Masks[[#This Row],[f]]/Config!$B$41/2000000000)))+Tx_power_ds-10*LOG10(F_Nyquist_ds)+1.11</f>
        <v>-98.176819891127963</v>
      </c>
      <c r="M75" s="1">
        <f>10*LOG10(1/(1+(Masks[[#This Row],[f]]/Config!$B$41/1000000000)^6))+Tx_power_us-10*LOG10(F_Nyquist_us)+0.45</f>
        <v>-98.06905754962655</v>
      </c>
      <c r="N75" s="1">
        <f>10*LOG10(1/(1+(Masks[[#This Row],[f]]/Config!$C$41/1000000000)^6))+Tx_power_ds-10*LOG10(F_Nyquist_ds)+0.45</f>
        <v>-98.06905754962655</v>
      </c>
      <c r="O75" s="3">
        <f>IF(Masks[[#This Row],[f]]&gt;F_Nyquist_us,0,1)</f>
        <v>1</v>
      </c>
      <c r="P75" s="3">
        <f>IF(Masks[[#This Row],[f]]&gt;F_Nyquist_ds,0,1)</f>
        <v>1</v>
      </c>
      <c r="Q75" s="2">
        <f>Config!B$40</f>
        <v>-41.640813746660612</v>
      </c>
      <c r="R75" s="3">
        <f>IF(Config!B$8&gt;0,10*LOG10($X$1*Masks[[#This Row],[f]]+Config!B$8*0.00073),-1000)</f>
        <v>-12.252641174482466</v>
      </c>
      <c r="S75" s="3">
        <f>10*LOG10((10^(Masks[[#This Row],[wire_echo]]/10))+(10^(Masks[[#This Row],[connector_echo]]/10)))</f>
        <v>-12.247644084433487</v>
      </c>
      <c r="T75" s="54"/>
      <c r="U75" s="54"/>
    </row>
    <row r="76" spans="1:21" x14ac:dyDescent="0.25">
      <c r="A76" s="2">
        <v>-98.199480911545393</v>
      </c>
      <c r="B76" s="2">
        <v>-98.199480911545393</v>
      </c>
      <c r="D76">
        <f>Calculate[[#This Row],[Freq]]</f>
        <v>3375000000</v>
      </c>
      <c r="E76" s="2">
        <f>MIN(-90, -89-Masks[[#This Row],[f]]/(600000000*S_ch_us),-82-Masks[[#This Row],[f]]/(250000000*S_ch_us))-K_ch_UPSD_us</f>
        <v>-95.229400086720375</v>
      </c>
      <c r="F76" s="2">
        <f>MIN(-90, -89-Masks[[#This Row],[f]]/(600000000*S_ch_ds),-82-Masks[[#This Row],[f]]/(250000000*S_ch_ds))-K_ch_UPSD_ds</f>
        <v>-95.229400086720375</v>
      </c>
      <c r="G76">
        <f>-MAX(MIN(20,20-10*LOG10(2*Masks[[#This Row],[f]]/480000000)),12-3)</f>
        <v>-9</v>
      </c>
      <c r="H76">
        <f>-MAX(MIN(20,20-10*LOG10(2*Masks[[#This Row],[f]]/480000000)),12-3)</f>
        <v>-9</v>
      </c>
      <c r="I76">
        <f>10*LOG10(POWER(10,Tx_power_us/10)/F_Nyquist_us)+IF(Masks[[#This Row],[f]]&gt;F_Nyquist_us,-50)</f>
        <v>-98.470325397914564</v>
      </c>
      <c r="J76" s="3">
        <f>10*LOG10(POWER(10,Tx_power_ds/10)/F_Nyquist_ds)+IF(Masks[[#This Row],[f]]&gt;F_Nyquist_ds,-50)</f>
        <v>-98.470325397914564</v>
      </c>
      <c r="K76" s="1">
        <f>20*LOG10(ABS(SIN(PI()*Masks[[#This Row],[f]]/Config!$B$41/2000000000)/(PI()*Masks[[#This Row],[f]]/Config!$B$41/2000000000)))+Tx_power_us-10*LOG10(F_Nyquist_us)+1.11</f>
        <v>-98.199480911545393</v>
      </c>
      <c r="L76" s="1">
        <f>20*LOG10(ABS(SIN(PI()*Masks[[#This Row],[f]]/Config!$B$41/2000000000)/(PI()*Masks[[#This Row],[f]]/Config!$B$41/2000000000)))+Tx_power_ds-10*LOG10(F_Nyquist_ds)+1.11</f>
        <v>-98.199480911545393</v>
      </c>
      <c r="M76" s="1">
        <f>10*LOG10(1/(1+(Masks[[#This Row],[f]]/Config!$B$41/1000000000)^6))+Tx_power_us-10*LOG10(F_Nyquist_us)+0.45</f>
        <v>-98.073119977088666</v>
      </c>
      <c r="N76" s="1">
        <f>10*LOG10(1/(1+(Masks[[#This Row],[f]]/Config!$C$41/1000000000)^6))+Tx_power_ds-10*LOG10(F_Nyquist_ds)+0.45</f>
        <v>-98.073119977088666</v>
      </c>
      <c r="O76" s="3">
        <f>IF(Masks[[#This Row],[f]]&gt;F_Nyquist_us,0,1)</f>
        <v>1</v>
      </c>
      <c r="P76" s="3">
        <f>IF(Masks[[#This Row],[f]]&gt;F_Nyquist_ds,0,1)</f>
        <v>1</v>
      </c>
      <c r="Q76" s="2">
        <f>Config!B$40</f>
        <v>-41.640813746660612</v>
      </c>
      <c r="R76" s="3">
        <f>IF(Config!B$8&gt;0,10*LOG10($X$1*Masks[[#This Row],[f]]+Config!B$8*0.00073),-1000)</f>
        <v>-12.197187005040009</v>
      </c>
      <c r="S76" s="3">
        <f>10*LOG10((10^(Masks[[#This Row],[wire_echo]]/10))+(10^(Masks[[#This Row],[connector_echo]]/10)))</f>
        <v>-12.192253280167542</v>
      </c>
      <c r="T76" s="54"/>
      <c r="U76" s="54"/>
    </row>
    <row r="77" spans="1:21" x14ac:dyDescent="0.25">
      <c r="A77" s="2">
        <v>-98.222471075440311</v>
      </c>
      <c r="B77" s="2">
        <v>-98.222471075440311</v>
      </c>
      <c r="D77">
        <f>Calculate[[#This Row],[Freq]]</f>
        <v>3420000000</v>
      </c>
      <c r="E77" s="2">
        <f>MIN(-90, -89-Masks[[#This Row],[f]]/(600000000*S_ch_us),-82-Masks[[#This Row],[f]]/(250000000*S_ch_us))-K_ch_UPSD_us</f>
        <v>-95.259400086720376</v>
      </c>
      <c r="F77" s="2">
        <f>MIN(-90, -89-Masks[[#This Row],[f]]/(600000000*S_ch_ds),-82-Masks[[#This Row],[f]]/(250000000*S_ch_ds))-K_ch_UPSD_ds</f>
        <v>-95.259400086720376</v>
      </c>
      <c r="G77">
        <f>-MAX(MIN(20,20-10*LOG10(2*Masks[[#This Row],[f]]/480000000)),12-3)</f>
        <v>-9</v>
      </c>
      <c r="H77">
        <f>-MAX(MIN(20,20-10*LOG10(2*Masks[[#This Row],[f]]/480000000)),12-3)</f>
        <v>-9</v>
      </c>
      <c r="I77">
        <f>10*LOG10(POWER(10,Tx_power_us/10)/F_Nyquist_us)+IF(Masks[[#This Row],[f]]&gt;F_Nyquist_us,-50)</f>
        <v>-98.470325397914564</v>
      </c>
      <c r="J77" s="3">
        <f>10*LOG10(POWER(10,Tx_power_ds/10)/F_Nyquist_ds)+IF(Masks[[#This Row],[f]]&gt;F_Nyquist_ds,-50)</f>
        <v>-98.470325397914564</v>
      </c>
      <c r="K77" s="1">
        <f>20*LOG10(ABS(SIN(PI()*Masks[[#This Row],[f]]/Config!$B$41/2000000000)/(PI()*Masks[[#This Row],[f]]/Config!$B$41/2000000000)))+Tx_power_us-10*LOG10(F_Nyquist_us)+1.11</f>
        <v>-98.222471075440311</v>
      </c>
      <c r="L77" s="1">
        <f>20*LOG10(ABS(SIN(PI()*Masks[[#This Row],[f]]/Config!$B$41/2000000000)/(PI()*Masks[[#This Row],[f]]/Config!$B$41/2000000000)))+Tx_power_ds-10*LOG10(F_Nyquist_ds)+1.11</f>
        <v>-98.222471075440311</v>
      </c>
      <c r="M77" s="1">
        <f>10*LOG10(1/(1+(Masks[[#This Row],[f]]/Config!$B$41/1000000000)^6))+Tx_power_us-10*LOG10(F_Nyquist_us)+0.45</f>
        <v>-98.077458253911914</v>
      </c>
      <c r="N77" s="1">
        <f>10*LOG10(1/(1+(Masks[[#This Row],[f]]/Config!$C$41/1000000000)^6))+Tx_power_ds-10*LOG10(F_Nyquist_ds)+0.45</f>
        <v>-98.077458253911914</v>
      </c>
      <c r="O77" s="3">
        <f>IF(Masks[[#This Row],[f]]&gt;F_Nyquist_us,0,1)</f>
        <v>1</v>
      </c>
      <c r="P77" s="3">
        <f>IF(Masks[[#This Row],[f]]&gt;F_Nyquist_ds,0,1)</f>
        <v>1</v>
      </c>
      <c r="Q77" s="2">
        <f>Config!B$40</f>
        <v>-41.640813746660612</v>
      </c>
      <c r="R77" s="3">
        <f>IF(Config!B$8&gt;0,10*LOG10($X$1*Masks[[#This Row],[f]]+Config!B$8*0.00073),-1000)</f>
        <v>-12.142432000373571</v>
      </c>
      <c r="S77" s="3">
        <f>10*LOG10((10^(Masks[[#This Row],[wire_echo]]/10))+(10^(Masks[[#This Row],[connector_echo]]/10)))</f>
        <v>-12.137560053806144</v>
      </c>
      <c r="T77" s="54"/>
      <c r="U77" s="54"/>
    </row>
    <row r="78" spans="1:21" x14ac:dyDescent="0.25">
      <c r="A78" s="2">
        <v>-98.245791461202813</v>
      </c>
      <c r="B78" s="2">
        <v>-98.245791461202813</v>
      </c>
      <c r="D78">
        <f>Calculate[[#This Row],[Freq]]</f>
        <v>3465000000</v>
      </c>
      <c r="E78" s="2">
        <f>MIN(-90, -89-Masks[[#This Row],[f]]/(600000000*S_ch_us),-82-Masks[[#This Row],[f]]/(250000000*S_ch_us))-K_ch_UPSD_us</f>
        <v>-95.289400086720377</v>
      </c>
      <c r="F78" s="2">
        <f>MIN(-90, -89-Masks[[#This Row],[f]]/(600000000*S_ch_ds),-82-Masks[[#This Row],[f]]/(250000000*S_ch_ds))-K_ch_UPSD_ds</f>
        <v>-95.289400086720377</v>
      </c>
      <c r="G78">
        <f>-MAX(MIN(20,20-10*LOG10(2*Masks[[#This Row],[f]]/480000000)),12-3)</f>
        <v>-9</v>
      </c>
      <c r="H78">
        <f>-MAX(MIN(20,20-10*LOG10(2*Masks[[#This Row],[f]]/480000000)),12-3)</f>
        <v>-9</v>
      </c>
      <c r="I78">
        <f>10*LOG10(POWER(10,Tx_power_us/10)/F_Nyquist_us)+IF(Masks[[#This Row],[f]]&gt;F_Nyquist_us,-50)</f>
        <v>-98.470325397914564</v>
      </c>
      <c r="J78" s="3">
        <f>10*LOG10(POWER(10,Tx_power_ds/10)/F_Nyquist_ds)+IF(Masks[[#This Row],[f]]&gt;F_Nyquist_ds,-50)</f>
        <v>-98.470325397914564</v>
      </c>
      <c r="K78" s="1">
        <f>20*LOG10(ABS(SIN(PI()*Masks[[#This Row],[f]]/Config!$B$41/2000000000)/(PI()*Masks[[#This Row],[f]]/Config!$B$41/2000000000)))+Tx_power_us-10*LOG10(F_Nyquist_us)+1.11</f>
        <v>-98.245791461202813</v>
      </c>
      <c r="L78" s="1">
        <f>20*LOG10(ABS(SIN(PI()*Masks[[#This Row],[f]]/Config!$B$41/2000000000)/(PI()*Masks[[#This Row],[f]]/Config!$B$41/2000000000)))+Tx_power_ds-10*LOG10(F_Nyquist_ds)+1.11</f>
        <v>-98.245791461202813</v>
      </c>
      <c r="M78" s="1">
        <f>10*LOG10(1/(1+(Masks[[#This Row],[f]]/Config!$B$41/1000000000)^6))+Tx_power_us-10*LOG10(F_Nyquist_us)+0.45</f>
        <v>-98.082086747734408</v>
      </c>
      <c r="N78" s="1">
        <f>10*LOG10(1/(1+(Masks[[#This Row],[f]]/Config!$C$41/1000000000)^6))+Tx_power_ds-10*LOG10(F_Nyquist_ds)+0.45</f>
        <v>-98.082086747734408</v>
      </c>
      <c r="O78" s="3">
        <f>IF(Masks[[#This Row],[f]]&gt;F_Nyquist_us,0,1)</f>
        <v>1</v>
      </c>
      <c r="P78" s="3">
        <f>IF(Masks[[#This Row],[f]]&gt;F_Nyquist_ds,0,1)</f>
        <v>1</v>
      </c>
      <c r="Q78" s="2">
        <f>Config!B$40</f>
        <v>-41.640813746660612</v>
      </c>
      <c r="R78" s="3">
        <f>IF(Config!B$8&gt;0,10*LOG10($X$1*Masks[[#This Row],[f]]+Config!B$8*0.00073),-1000)</f>
        <v>-12.088358749666652</v>
      </c>
      <c r="S78" s="3">
        <f>10*LOG10((10^(Masks[[#This Row],[wire_echo]]/10))+(10^(Masks[[#This Row],[connector_echo]]/10)))</f>
        <v>-12.083547053406292</v>
      </c>
      <c r="T78" s="54"/>
      <c r="U78" s="54"/>
    </row>
    <row r="79" spans="1:21" x14ac:dyDescent="0.25">
      <c r="A79" s="2">
        <v>-98.269443167187973</v>
      </c>
      <c r="B79" s="2">
        <v>-98.269443167187973</v>
      </c>
      <c r="D79">
        <f>Calculate[[#This Row],[Freq]]</f>
        <v>3510000000</v>
      </c>
      <c r="E79" s="2">
        <f>MIN(-90, -89-Masks[[#This Row],[f]]/(600000000*S_ch_us),-82-Masks[[#This Row],[f]]/(250000000*S_ch_us))-K_ch_UPSD_us</f>
        <v>-95.319400086720378</v>
      </c>
      <c r="F79" s="2">
        <f>MIN(-90, -89-Masks[[#This Row],[f]]/(600000000*S_ch_ds),-82-Masks[[#This Row],[f]]/(250000000*S_ch_ds))-K_ch_UPSD_ds</f>
        <v>-95.319400086720378</v>
      </c>
      <c r="G79">
        <f>-MAX(MIN(20,20-10*LOG10(2*Masks[[#This Row],[f]]/480000000)),12-3)</f>
        <v>-9</v>
      </c>
      <c r="H79">
        <f>-MAX(MIN(20,20-10*LOG10(2*Masks[[#This Row],[f]]/480000000)),12-3)</f>
        <v>-9</v>
      </c>
      <c r="I79">
        <f>10*LOG10(POWER(10,Tx_power_us/10)/F_Nyquist_us)+IF(Masks[[#This Row],[f]]&gt;F_Nyquist_us,-50)</f>
        <v>-98.470325397914564</v>
      </c>
      <c r="J79" s="3">
        <f>10*LOG10(POWER(10,Tx_power_ds/10)/F_Nyquist_ds)+IF(Masks[[#This Row],[f]]&gt;F_Nyquist_ds,-50)</f>
        <v>-98.470325397914564</v>
      </c>
      <c r="K79" s="1">
        <f>20*LOG10(ABS(SIN(PI()*Masks[[#This Row],[f]]/Config!$B$41/2000000000)/(PI()*Masks[[#This Row],[f]]/Config!$B$41/2000000000)))+Tx_power_us-10*LOG10(F_Nyquist_us)+1.11</f>
        <v>-98.269443167187973</v>
      </c>
      <c r="L79" s="1">
        <f>20*LOG10(ABS(SIN(PI()*Masks[[#This Row],[f]]/Config!$B$41/2000000000)/(PI()*Masks[[#This Row],[f]]/Config!$B$41/2000000000)))+Tx_power_ds-10*LOG10(F_Nyquist_ds)+1.11</f>
        <v>-98.269443167187973</v>
      </c>
      <c r="M79" s="1">
        <f>10*LOG10(1/(1+(Masks[[#This Row],[f]]/Config!$B$41/1000000000)^6))+Tx_power_us-10*LOG10(F_Nyquist_us)+0.45</f>
        <v>-98.087020318179427</v>
      </c>
      <c r="N79" s="1">
        <f>10*LOG10(1/(1+(Masks[[#This Row],[f]]/Config!$C$41/1000000000)^6))+Tx_power_ds-10*LOG10(F_Nyquist_ds)+0.45</f>
        <v>-98.087020318179427</v>
      </c>
      <c r="O79" s="3">
        <f>IF(Masks[[#This Row],[f]]&gt;F_Nyquist_us,0,1)</f>
        <v>1</v>
      </c>
      <c r="P79" s="3">
        <f>IF(Masks[[#This Row],[f]]&gt;F_Nyquist_ds,0,1)</f>
        <v>1</v>
      </c>
      <c r="Q79" s="2">
        <f>Config!B$40</f>
        <v>-41.640813746660612</v>
      </c>
      <c r="R79" s="3">
        <f>IF(Config!B$8&gt;0,10*LOG10($X$1*Masks[[#This Row],[f]]+Config!B$8*0.00073),-1000)</f>
        <v>-12.034950484467037</v>
      </c>
      <c r="S79" s="3">
        <f>10*LOG10((10^(Masks[[#This Row],[wire_echo]]/10))+(10^(Masks[[#This Row],[connector_echo]]/10)))</f>
        <v>-12.030197566512541</v>
      </c>
      <c r="T79" s="54"/>
      <c r="U79" s="54"/>
    </row>
    <row r="80" spans="1:21" x14ac:dyDescent="0.25">
      <c r="A80" s="2">
        <v>-98.293427311980494</v>
      </c>
      <c r="B80" s="2">
        <v>-98.293427311980494</v>
      </c>
      <c r="D80">
        <f>Calculate[[#This Row],[Freq]]</f>
        <v>3555000000</v>
      </c>
      <c r="E80" s="2">
        <f>MIN(-90, -89-Masks[[#This Row],[f]]/(600000000*S_ch_us),-82-Masks[[#This Row],[f]]/(250000000*S_ch_us))-K_ch_UPSD_us</f>
        <v>-95.349400086720379</v>
      </c>
      <c r="F80" s="2">
        <f>MIN(-90, -89-Masks[[#This Row],[f]]/(600000000*S_ch_ds),-82-Masks[[#This Row],[f]]/(250000000*S_ch_ds))-K_ch_UPSD_ds</f>
        <v>-95.349400086720379</v>
      </c>
      <c r="G80">
        <f>-MAX(MIN(20,20-10*LOG10(2*Masks[[#This Row],[f]]/480000000)),12-3)</f>
        <v>-9</v>
      </c>
      <c r="H80">
        <f>-MAX(MIN(20,20-10*LOG10(2*Masks[[#This Row],[f]]/480000000)),12-3)</f>
        <v>-9</v>
      </c>
      <c r="I80">
        <f>10*LOG10(POWER(10,Tx_power_us/10)/F_Nyquist_us)+IF(Masks[[#This Row],[f]]&gt;F_Nyquist_us,-50)</f>
        <v>-98.470325397914564</v>
      </c>
      <c r="J80" s="3">
        <f>10*LOG10(POWER(10,Tx_power_ds/10)/F_Nyquist_ds)+IF(Masks[[#This Row],[f]]&gt;F_Nyquist_ds,-50)</f>
        <v>-98.470325397914564</v>
      </c>
      <c r="K80" s="1">
        <f>20*LOG10(ABS(SIN(PI()*Masks[[#This Row],[f]]/Config!$B$41/2000000000)/(PI()*Masks[[#This Row],[f]]/Config!$B$41/2000000000)))+Tx_power_us-10*LOG10(F_Nyquist_us)+1.11</f>
        <v>-98.293427311980494</v>
      </c>
      <c r="L80" s="1">
        <f>20*LOG10(ABS(SIN(PI()*Masks[[#This Row],[f]]/Config!$B$41/2000000000)/(PI()*Masks[[#This Row],[f]]/Config!$B$41/2000000000)))+Tx_power_ds-10*LOG10(F_Nyquist_ds)+1.11</f>
        <v>-98.293427311980494</v>
      </c>
      <c r="M80" s="1">
        <f>10*LOG10(1/(1+(Masks[[#This Row],[f]]/Config!$B$41/1000000000)^6))+Tx_power_us-10*LOG10(F_Nyquist_us)+0.45</f>
        <v>-98.092274319746394</v>
      </c>
      <c r="N80" s="1">
        <f>10*LOG10(1/(1+(Masks[[#This Row],[f]]/Config!$C$41/1000000000)^6))+Tx_power_ds-10*LOG10(F_Nyquist_ds)+0.45</f>
        <v>-98.092274319746394</v>
      </c>
      <c r="O80" s="3">
        <f>IF(Masks[[#This Row],[f]]&gt;F_Nyquist_us,0,1)</f>
        <v>1</v>
      </c>
      <c r="P80" s="3">
        <f>IF(Masks[[#This Row],[f]]&gt;F_Nyquist_ds,0,1)</f>
        <v>1</v>
      </c>
      <c r="Q80" s="2">
        <f>Config!B$40</f>
        <v>-41.640813746660612</v>
      </c>
      <c r="R80" s="3">
        <f>IF(Config!B$8&gt;0,10*LOG10($X$1*Masks[[#This Row],[f]]+Config!B$8*0.00073),-1000)</f>
        <v>-11.982191047470662</v>
      </c>
      <c r="S80" s="3">
        <f>10*LOG10((10^(Masks[[#This Row],[wire_echo]]/10))+(10^(Masks[[#This Row],[connector_echo]]/10)))</f>
        <v>-11.97749548911446</v>
      </c>
      <c r="T80" s="54"/>
      <c r="U80" s="54"/>
    </row>
    <row r="81" spans="1:21" x14ac:dyDescent="0.25">
      <c r="A81" s="2">
        <v>-98.317745034665819</v>
      </c>
      <c r="B81" s="2">
        <v>-98.317745034665819</v>
      </c>
      <c r="D81">
        <f>Calculate[[#This Row],[Freq]]</f>
        <v>3600000000</v>
      </c>
      <c r="E81" s="2">
        <f>MIN(-90, -89-Masks[[#This Row],[f]]/(600000000*S_ch_us),-82-Masks[[#This Row],[f]]/(250000000*S_ch_us))-K_ch_UPSD_us</f>
        <v>-95.379400086720381</v>
      </c>
      <c r="F81" s="2">
        <f>MIN(-90, -89-Masks[[#This Row],[f]]/(600000000*S_ch_ds),-82-Masks[[#This Row],[f]]/(250000000*S_ch_ds))-K_ch_UPSD_ds</f>
        <v>-95.379400086720381</v>
      </c>
      <c r="G81">
        <f>-MAX(MIN(20,20-10*LOG10(2*Masks[[#This Row],[f]]/480000000)),12-3)</f>
        <v>-9</v>
      </c>
      <c r="H81">
        <f>-MAX(MIN(20,20-10*LOG10(2*Masks[[#This Row],[f]]/480000000)),12-3)</f>
        <v>-9</v>
      </c>
      <c r="I81">
        <f>10*LOG10(POWER(10,Tx_power_us/10)/F_Nyquist_us)+IF(Masks[[#This Row],[f]]&gt;F_Nyquist_us,-50)</f>
        <v>-98.470325397914564</v>
      </c>
      <c r="J81" s="3">
        <f>10*LOG10(POWER(10,Tx_power_ds/10)/F_Nyquist_ds)+IF(Masks[[#This Row],[f]]&gt;F_Nyquist_ds,-50)</f>
        <v>-98.470325397914564</v>
      </c>
      <c r="K81" s="1">
        <f>20*LOG10(ABS(SIN(PI()*Masks[[#This Row],[f]]/Config!$B$41/2000000000)/(PI()*Masks[[#This Row],[f]]/Config!$B$41/2000000000)))+Tx_power_us-10*LOG10(F_Nyquist_us)+1.11</f>
        <v>-98.317745034665819</v>
      </c>
      <c r="L81" s="1">
        <f>20*LOG10(ABS(SIN(PI()*Masks[[#This Row],[f]]/Config!$B$41/2000000000)/(PI()*Masks[[#This Row],[f]]/Config!$B$41/2000000000)))+Tx_power_ds-10*LOG10(F_Nyquist_ds)+1.11</f>
        <v>-98.317745034665819</v>
      </c>
      <c r="M81" s="1">
        <f>10*LOG10(1/(1+(Masks[[#This Row],[f]]/Config!$B$41/1000000000)^6))+Tx_power_us-10*LOG10(F_Nyquist_us)+0.45</f>
        <v>-98.097864603747041</v>
      </c>
      <c r="N81" s="1">
        <f>10*LOG10(1/(1+(Masks[[#This Row],[f]]/Config!$C$41/1000000000)^6))+Tx_power_ds-10*LOG10(F_Nyquist_ds)+0.45</f>
        <v>-98.097864603747041</v>
      </c>
      <c r="O81" s="3">
        <f>IF(Masks[[#This Row],[f]]&gt;F_Nyquist_us,0,1)</f>
        <v>1</v>
      </c>
      <c r="P81" s="3">
        <f>IF(Masks[[#This Row],[f]]&gt;F_Nyquist_ds,0,1)</f>
        <v>1</v>
      </c>
      <c r="Q81" s="2">
        <f>Config!B$40</f>
        <v>-41.640813746660612</v>
      </c>
      <c r="R81" s="3">
        <f>IF(Config!B$8&gt;0,10*LOG10($X$1*Masks[[#This Row],[f]]+Config!B$8*0.00073),-1000)</f>
        <v>-11.930064863178929</v>
      </c>
      <c r="S81" s="3">
        <f>10*LOG10((10^(Masks[[#This Row],[wire_echo]]/10))+(10^(Masks[[#This Row],[connector_echo]]/10)))</f>
        <v>-11.925425296465097</v>
      </c>
      <c r="T81" s="54"/>
      <c r="U81" s="54"/>
    </row>
    <row r="82" spans="1:21" x14ac:dyDescent="0.25">
      <c r="A82" s="2">
        <v>-98.342397495107846</v>
      </c>
      <c r="B82" s="2">
        <v>-98.342397495107846</v>
      </c>
      <c r="D82">
        <f>Calculate[[#This Row],[Freq]]</f>
        <v>3645000000</v>
      </c>
      <c r="E82" s="2">
        <f>MIN(-90, -89-Masks[[#This Row],[f]]/(600000000*S_ch_us),-82-Masks[[#This Row],[f]]/(250000000*S_ch_us))-K_ch_UPSD_us</f>
        <v>-95.409400086720382</v>
      </c>
      <c r="F82" s="2">
        <f>MIN(-90, -89-Masks[[#This Row],[f]]/(600000000*S_ch_ds),-82-Masks[[#This Row],[f]]/(250000000*S_ch_ds))-K_ch_UPSD_ds</f>
        <v>-95.409400086720382</v>
      </c>
      <c r="G82">
        <f>-MAX(MIN(20,20-10*LOG10(2*Masks[[#This Row],[f]]/480000000)),12-3)</f>
        <v>-9</v>
      </c>
      <c r="H82">
        <f>-MAX(MIN(20,20-10*LOG10(2*Masks[[#This Row],[f]]/480000000)),12-3)</f>
        <v>-9</v>
      </c>
      <c r="I82">
        <f>10*LOG10(POWER(10,Tx_power_us/10)/F_Nyquist_us)+IF(Masks[[#This Row],[f]]&gt;F_Nyquist_us,-50)</f>
        <v>-98.470325397914564</v>
      </c>
      <c r="J82" s="3">
        <f>10*LOG10(POWER(10,Tx_power_ds/10)/F_Nyquist_ds)+IF(Masks[[#This Row],[f]]&gt;F_Nyquist_ds,-50)</f>
        <v>-98.470325397914564</v>
      </c>
      <c r="K82" s="1">
        <f>20*LOG10(ABS(SIN(PI()*Masks[[#This Row],[f]]/Config!$B$41/2000000000)/(PI()*Masks[[#This Row],[f]]/Config!$B$41/2000000000)))+Tx_power_us-10*LOG10(F_Nyquist_us)+1.11</f>
        <v>-98.342397495107846</v>
      </c>
      <c r="L82" s="1">
        <f>20*LOG10(ABS(SIN(PI()*Masks[[#This Row],[f]]/Config!$B$41/2000000000)/(PI()*Masks[[#This Row],[f]]/Config!$B$41/2000000000)))+Tx_power_ds-10*LOG10(F_Nyquist_ds)+1.11</f>
        <v>-98.342397495107846</v>
      </c>
      <c r="M82" s="1">
        <f>10*LOG10(1/(1+(Masks[[#This Row],[f]]/Config!$B$41/1000000000)^6))+Tx_power_us-10*LOG10(F_Nyquist_us)+0.45</f>
        <v>-98.103807519212509</v>
      </c>
      <c r="N82" s="1">
        <f>10*LOG10(1/(1+(Masks[[#This Row],[f]]/Config!$C$41/1000000000)^6))+Tx_power_ds-10*LOG10(F_Nyquist_ds)+0.45</f>
        <v>-98.103807519212509</v>
      </c>
      <c r="O82" s="3">
        <f>IF(Masks[[#This Row],[f]]&gt;F_Nyquist_us,0,1)</f>
        <v>1</v>
      </c>
      <c r="P82" s="3">
        <f>IF(Masks[[#This Row],[f]]&gt;F_Nyquist_ds,0,1)</f>
        <v>1</v>
      </c>
      <c r="Q82" s="2">
        <f>Config!B$40</f>
        <v>-41.640813746660612</v>
      </c>
      <c r="R82" s="3">
        <f>IF(Config!B$8&gt;0,10*LOG10($X$1*Masks[[#This Row],[f]]+Config!B$8*0.00073),-1000)</f>
        <v>-11.878556910296197</v>
      </c>
      <c r="S82" s="3">
        <f>10*LOG10((10^(Masks[[#This Row],[wire_echo]]/10))+(10^(Masks[[#This Row],[connector_echo]]/10)))</f>
        <v>-11.873972015628262</v>
      </c>
      <c r="T82" s="54"/>
      <c r="U82" s="54"/>
    </row>
    <row r="83" spans="1:21" x14ac:dyDescent="0.25">
      <c r="A83" s="2">
        <v>-98.367385874233491</v>
      </c>
      <c r="B83" s="2">
        <v>-98.367385874233491</v>
      </c>
      <c r="D83">
        <f>Calculate[[#This Row],[Freq]]</f>
        <v>3690000000</v>
      </c>
      <c r="E83" s="2">
        <f>MIN(-90, -89-Masks[[#This Row],[f]]/(600000000*S_ch_us),-82-Masks[[#This Row],[f]]/(250000000*S_ch_us))-K_ch_UPSD_us</f>
        <v>-95.439400086720369</v>
      </c>
      <c r="F83" s="2">
        <f>MIN(-90, -89-Masks[[#This Row],[f]]/(600000000*S_ch_ds),-82-Masks[[#This Row],[f]]/(250000000*S_ch_ds))-K_ch_UPSD_ds</f>
        <v>-95.439400086720369</v>
      </c>
      <c r="G83">
        <f>-MAX(MIN(20,20-10*LOG10(2*Masks[[#This Row],[f]]/480000000)),12-3)</f>
        <v>-9</v>
      </c>
      <c r="H83">
        <f>-MAX(MIN(20,20-10*LOG10(2*Masks[[#This Row],[f]]/480000000)),12-3)</f>
        <v>-9</v>
      </c>
      <c r="I83">
        <f>10*LOG10(POWER(10,Tx_power_us/10)/F_Nyquist_us)+IF(Masks[[#This Row],[f]]&gt;F_Nyquist_us,-50)</f>
        <v>-98.470325397914564</v>
      </c>
      <c r="J83" s="3">
        <f>10*LOG10(POWER(10,Tx_power_ds/10)/F_Nyquist_ds)+IF(Masks[[#This Row],[f]]&gt;F_Nyquist_ds,-50)</f>
        <v>-98.470325397914564</v>
      </c>
      <c r="K83" s="1">
        <f>20*LOG10(ABS(SIN(PI()*Masks[[#This Row],[f]]/Config!$B$41/2000000000)/(PI()*Masks[[#This Row],[f]]/Config!$B$41/2000000000)))+Tx_power_us-10*LOG10(F_Nyquist_us)+1.11</f>
        <v>-98.367385874233491</v>
      </c>
      <c r="L83" s="1">
        <f>20*LOG10(ABS(SIN(PI()*Masks[[#This Row],[f]]/Config!$B$41/2000000000)/(PI()*Masks[[#This Row],[f]]/Config!$B$41/2000000000)))+Tx_power_ds-10*LOG10(F_Nyquist_ds)+1.11</f>
        <v>-98.367385874233491</v>
      </c>
      <c r="M83" s="1">
        <f>10*LOG10(1/(1+(Masks[[#This Row],[f]]/Config!$B$41/1000000000)^6))+Tx_power_us-10*LOG10(F_Nyquist_us)+0.45</f>
        <v>-98.11011991269595</v>
      </c>
      <c r="N83" s="1">
        <f>10*LOG10(1/(1+(Masks[[#This Row],[f]]/Config!$C$41/1000000000)^6))+Tx_power_ds-10*LOG10(F_Nyquist_ds)+0.45</f>
        <v>-98.11011991269595</v>
      </c>
      <c r="O83" s="3">
        <f>IF(Masks[[#This Row],[f]]&gt;F_Nyquist_us,0,1)</f>
        <v>1</v>
      </c>
      <c r="P83" s="3">
        <f>IF(Masks[[#This Row],[f]]&gt;F_Nyquist_ds,0,1)</f>
        <v>1</v>
      </c>
      <c r="Q83" s="2">
        <f>Config!B$40</f>
        <v>-41.640813746660612</v>
      </c>
      <c r="R83" s="3">
        <f>IF(Config!B$8&gt;0,10*LOG10($X$1*Masks[[#This Row],[f]]+Config!B$8*0.00073),-1000)</f>
        <v>-11.827652695745019</v>
      </c>
      <c r="S83" s="3">
        <f>10*LOG10((10^(Masks[[#This Row],[wire_echo]]/10))+(10^(Masks[[#This Row],[connector_echo]]/10)))</f>
        <v>-11.823121199633064</v>
      </c>
      <c r="T83" s="54"/>
      <c r="U83" s="54"/>
    </row>
    <row r="84" spans="1:21" x14ac:dyDescent="0.25">
      <c r="A84" s="2">
        <v>-98.392711374324051</v>
      </c>
      <c r="B84" s="2">
        <v>-98.392711374324051</v>
      </c>
      <c r="D84">
        <f>Calculate[[#This Row],[Freq]]</f>
        <v>3735000000</v>
      </c>
      <c r="E84" s="2">
        <f>MIN(-90, -89-Masks[[#This Row],[f]]/(600000000*S_ch_us),-82-Masks[[#This Row],[f]]/(250000000*S_ch_us))-K_ch_UPSD_us</f>
        <v>-95.46940008672037</v>
      </c>
      <c r="F84" s="2">
        <f>MIN(-90, -89-Masks[[#This Row],[f]]/(600000000*S_ch_ds),-82-Masks[[#This Row],[f]]/(250000000*S_ch_ds))-K_ch_UPSD_ds</f>
        <v>-95.46940008672037</v>
      </c>
      <c r="G84">
        <f>-MAX(MIN(20,20-10*LOG10(2*Masks[[#This Row],[f]]/480000000)),12-3)</f>
        <v>-9</v>
      </c>
      <c r="H84">
        <f>-MAX(MIN(20,20-10*LOG10(2*Masks[[#This Row],[f]]/480000000)),12-3)</f>
        <v>-9</v>
      </c>
      <c r="I84">
        <f>10*LOG10(POWER(10,Tx_power_us/10)/F_Nyquist_us)+IF(Masks[[#This Row],[f]]&gt;F_Nyquist_us,-50)</f>
        <v>-98.470325397914564</v>
      </c>
      <c r="J84" s="3">
        <f>10*LOG10(POWER(10,Tx_power_ds/10)/F_Nyquist_ds)+IF(Masks[[#This Row],[f]]&gt;F_Nyquist_ds,-50)</f>
        <v>-98.470325397914564</v>
      </c>
      <c r="K84" s="1">
        <f>20*LOG10(ABS(SIN(PI()*Masks[[#This Row],[f]]/Config!$B$41/2000000000)/(PI()*Masks[[#This Row],[f]]/Config!$B$41/2000000000)))+Tx_power_us-10*LOG10(F_Nyquist_us)+1.11</f>
        <v>-98.392711374324051</v>
      </c>
      <c r="L84" s="1">
        <f>20*LOG10(ABS(SIN(PI()*Masks[[#This Row],[f]]/Config!$B$41/2000000000)/(PI()*Masks[[#This Row],[f]]/Config!$B$41/2000000000)))+Tx_power_ds-10*LOG10(F_Nyquist_ds)+1.11</f>
        <v>-98.392711374324051</v>
      </c>
      <c r="M84" s="1">
        <f>10*LOG10(1/(1+(Masks[[#This Row],[f]]/Config!$B$41/1000000000)^6))+Tx_power_us-10*LOG10(F_Nyquist_us)+0.45</f>
        <v>-98.116819126893049</v>
      </c>
      <c r="N84" s="1">
        <f>10*LOG10(1/(1+(Masks[[#This Row],[f]]/Config!$C$41/1000000000)^6))+Tx_power_ds-10*LOG10(F_Nyquist_ds)+0.45</f>
        <v>-98.116819126893049</v>
      </c>
      <c r="O84" s="3">
        <f>IF(Masks[[#This Row],[f]]&gt;F_Nyquist_us,0,1)</f>
        <v>1</v>
      </c>
      <c r="P84" s="3">
        <f>IF(Masks[[#This Row],[f]]&gt;F_Nyquist_ds,0,1)</f>
        <v>1</v>
      </c>
      <c r="Q84" s="2">
        <f>Config!B$40</f>
        <v>-41.640813746660612</v>
      </c>
      <c r="R84" s="3">
        <f>IF(Config!B$8&gt;0,10*LOG10($X$1*Masks[[#This Row],[f]]+Config!B$8*0.00073),-1000)</f>
        <v>-11.777338230186672</v>
      </c>
      <c r="S84" s="3">
        <f>10*LOG10((10^(Masks[[#This Row],[wire_echo]]/10))+(10^(Masks[[#This Row],[connector_echo]]/10)))</f>
        <v>-11.77285890312411</v>
      </c>
      <c r="T84" s="54"/>
      <c r="U84" s="54"/>
    </row>
    <row r="85" spans="1:21" x14ac:dyDescent="0.25">
      <c r="A85" s="2">
        <v>-98.41837521931383</v>
      </c>
      <c r="B85" s="2">
        <v>-98.41837521931383</v>
      </c>
      <c r="D85">
        <f>Calculate[[#This Row],[Freq]]</f>
        <v>3780000000</v>
      </c>
      <c r="E85" s="2">
        <f>MIN(-90, -89-Masks[[#This Row],[f]]/(600000000*S_ch_us),-82-Masks[[#This Row],[f]]/(250000000*S_ch_us))-K_ch_UPSD_us</f>
        <v>-95.499400086720371</v>
      </c>
      <c r="F85" s="2">
        <f>MIN(-90, -89-Masks[[#This Row],[f]]/(600000000*S_ch_ds),-82-Masks[[#This Row],[f]]/(250000000*S_ch_ds))-K_ch_UPSD_ds</f>
        <v>-95.499400086720371</v>
      </c>
      <c r="G85">
        <f>-MAX(MIN(20,20-10*LOG10(2*Masks[[#This Row],[f]]/480000000)),12-3)</f>
        <v>-9</v>
      </c>
      <c r="H85">
        <f>-MAX(MIN(20,20-10*LOG10(2*Masks[[#This Row],[f]]/480000000)),12-3)</f>
        <v>-9</v>
      </c>
      <c r="I85">
        <f>10*LOG10(POWER(10,Tx_power_us/10)/F_Nyquist_us)+IF(Masks[[#This Row],[f]]&gt;F_Nyquist_us,-50)</f>
        <v>-98.470325397914564</v>
      </c>
      <c r="J85" s="3">
        <f>10*LOG10(POWER(10,Tx_power_ds/10)/F_Nyquist_ds)+IF(Masks[[#This Row],[f]]&gt;F_Nyquist_ds,-50)</f>
        <v>-98.470325397914564</v>
      </c>
      <c r="K85" s="1">
        <f>20*LOG10(ABS(SIN(PI()*Masks[[#This Row],[f]]/Config!$B$41/2000000000)/(PI()*Masks[[#This Row],[f]]/Config!$B$41/2000000000)))+Tx_power_us-10*LOG10(F_Nyquist_us)+1.11</f>
        <v>-98.41837521931383</v>
      </c>
      <c r="L85" s="1">
        <f>20*LOG10(ABS(SIN(PI()*Masks[[#This Row],[f]]/Config!$B$41/2000000000)/(PI()*Masks[[#This Row],[f]]/Config!$B$41/2000000000)))+Tx_power_ds-10*LOG10(F_Nyquist_ds)+1.11</f>
        <v>-98.41837521931383</v>
      </c>
      <c r="M85" s="1">
        <f>10*LOG10(1/(1+(Masks[[#This Row],[f]]/Config!$B$41/1000000000)^6))+Tx_power_us-10*LOG10(F_Nyquist_us)+0.45</f>
        <v>-98.123922998001873</v>
      </c>
      <c r="N85" s="1">
        <f>10*LOG10(1/(1+(Masks[[#This Row],[f]]/Config!$C$41/1000000000)^6))+Tx_power_ds-10*LOG10(F_Nyquist_ds)+0.45</f>
        <v>-98.123922998001873</v>
      </c>
      <c r="O85" s="3">
        <f>IF(Masks[[#This Row],[f]]&gt;F_Nyquist_us,0,1)</f>
        <v>1</v>
      </c>
      <c r="P85" s="3">
        <f>IF(Masks[[#This Row],[f]]&gt;F_Nyquist_ds,0,1)</f>
        <v>1</v>
      </c>
      <c r="Q85" s="2">
        <f>Config!B$40</f>
        <v>-41.640813746660612</v>
      </c>
      <c r="R85" s="3">
        <f>IF(Config!B$8&gt;0,10*LOG10($X$1*Masks[[#This Row],[f]]+Config!B$8*0.00073),-1000)</f>
        <v>-11.727600004943547</v>
      </c>
      <c r="S85" s="3">
        <f>10*LOG10((10^(Masks[[#This Row],[wire_echo]]/10))+(10^(Masks[[#This Row],[connector_echo]]/10)))</f>
        <v>-11.723171659404736</v>
      </c>
      <c r="T85" s="54"/>
      <c r="U85" s="54"/>
    </row>
    <row r="86" spans="1:21" x14ac:dyDescent="0.25">
      <c r="A86" s="2">
        <v>-98.44437865509596</v>
      </c>
      <c r="B86" s="2">
        <v>-98.44437865509596</v>
      </c>
      <c r="D86">
        <f>Calculate[[#This Row],[Freq]]</f>
        <v>3825000000</v>
      </c>
      <c r="E86" s="2">
        <f>MIN(-90, -89-Masks[[#This Row],[f]]/(600000000*S_ch_us),-82-Masks[[#This Row],[f]]/(250000000*S_ch_us))-K_ch_UPSD_us</f>
        <v>-95.529400086720372</v>
      </c>
      <c r="F86" s="2">
        <f>MIN(-90, -89-Masks[[#This Row],[f]]/(600000000*S_ch_ds),-82-Masks[[#This Row],[f]]/(250000000*S_ch_ds))-K_ch_UPSD_ds</f>
        <v>-95.529400086720372</v>
      </c>
      <c r="G86">
        <f>-MAX(MIN(20,20-10*LOG10(2*Masks[[#This Row],[f]]/480000000)),12-3)</f>
        <v>-9</v>
      </c>
      <c r="H86">
        <f>-MAX(MIN(20,20-10*LOG10(2*Masks[[#This Row],[f]]/480000000)),12-3)</f>
        <v>-9</v>
      </c>
      <c r="I86">
        <f>10*LOG10(POWER(10,Tx_power_us/10)/F_Nyquist_us)+IF(Masks[[#This Row],[f]]&gt;F_Nyquist_us,-50)</f>
        <v>-98.470325397914564</v>
      </c>
      <c r="J86" s="3">
        <f>10*LOG10(POWER(10,Tx_power_ds/10)/F_Nyquist_ds)+IF(Masks[[#This Row],[f]]&gt;F_Nyquist_ds,-50)</f>
        <v>-98.470325397914564</v>
      </c>
      <c r="K86" s="1">
        <f>20*LOG10(ABS(SIN(PI()*Masks[[#This Row],[f]]/Config!$B$41/2000000000)/(PI()*Masks[[#This Row],[f]]/Config!$B$41/2000000000)))+Tx_power_us-10*LOG10(F_Nyquist_us)+1.11</f>
        <v>-98.44437865509596</v>
      </c>
      <c r="L86" s="1">
        <f>20*LOG10(ABS(SIN(PI()*Masks[[#This Row],[f]]/Config!$B$41/2000000000)/(PI()*Masks[[#This Row],[f]]/Config!$B$41/2000000000)))+Tx_power_ds-10*LOG10(F_Nyquist_ds)+1.11</f>
        <v>-98.44437865509596</v>
      </c>
      <c r="M86" s="1">
        <f>10*LOG10(1/(1+(Masks[[#This Row],[f]]/Config!$B$41/1000000000)^6))+Tx_power_us-10*LOG10(F_Nyquist_us)+0.45</f>
        <v>-98.131449851742559</v>
      </c>
      <c r="N86" s="1">
        <f>10*LOG10(1/(1+(Masks[[#This Row],[f]]/Config!$C$41/1000000000)^6))+Tx_power_ds-10*LOG10(F_Nyquist_ds)+0.45</f>
        <v>-98.131449851742559</v>
      </c>
      <c r="O86" s="3">
        <f>IF(Masks[[#This Row],[f]]&gt;F_Nyquist_us,0,1)</f>
        <v>1</v>
      </c>
      <c r="P86" s="3">
        <f>IF(Masks[[#This Row],[f]]&gt;F_Nyquist_ds,0,1)</f>
        <v>1</v>
      </c>
      <c r="Q86" s="2">
        <f>Config!B$40</f>
        <v>-41.640813746660612</v>
      </c>
      <c r="R86" s="3">
        <f>IF(Config!B$8&gt;0,10*LOG10($X$1*Masks[[#This Row],[f]]+Config!B$8*0.00073),-1000)</f>
        <v>-11.678424970228146</v>
      </c>
      <c r="S86" s="3">
        <f>10*LOG10((10^(Masks[[#This Row],[wire_echo]]/10))+(10^(Masks[[#This Row],[connector_echo]]/10)))</f>
        <v>-11.67404645877868</v>
      </c>
      <c r="T86" s="54"/>
      <c r="U86" s="54"/>
    </row>
    <row r="87" spans="1:21" x14ac:dyDescent="0.25">
      <c r="A87" s="2">
        <v>-98.470722949835647</v>
      </c>
      <c r="B87" s="2">
        <v>-98.470722949835647</v>
      </c>
      <c r="D87">
        <f>Calculate[[#This Row],[Freq]]</f>
        <v>3870000000</v>
      </c>
      <c r="E87" s="2">
        <f>MIN(-90, -89-Masks[[#This Row],[f]]/(600000000*S_ch_us),-82-Masks[[#This Row],[f]]/(250000000*S_ch_us))-K_ch_UPSD_us</f>
        <v>-95.559400086720373</v>
      </c>
      <c r="F87" s="2">
        <f>MIN(-90, -89-Masks[[#This Row],[f]]/(600000000*S_ch_ds),-82-Masks[[#This Row],[f]]/(250000000*S_ch_ds))-K_ch_UPSD_ds</f>
        <v>-95.559400086720373</v>
      </c>
      <c r="G87">
        <f>-MAX(MIN(20,20-10*LOG10(2*Masks[[#This Row],[f]]/480000000)),12-3)</f>
        <v>-9</v>
      </c>
      <c r="H87">
        <f>-MAX(MIN(20,20-10*LOG10(2*Masks[[#This Row],[f]]/480000000)),12-3)</f>
        <v>-9</v>
      </c>
      <c r="I87">
        <f>10*LOG10(POWER(10,Tx_power_us/10)/F_Nyquist_us)+IF(Masks[[#This Row],[f]]&gt;F_Nyquist_us,-50)</f>
        <v>-98.470325397914564</v>
      </c>
      <c r="J87" s="3">
        <f>10*LOG10(POWER(10,Tx_power_ds/10)/F_Nyquist_ds)+IF(Masks[[#This Row],[f]]&gt;F_Nyquist_ds,-50)</f>
        <v>-98.470325397914564</v>
      </c>
      <c r="K87" s="1">
        <f>20*LOG10(ABS(SIN(PI()*Masks[[#This Row],[f]]/Config!$B$41/2000000000)/(PI()*Masks[[#This Row],[f]]/Config!$B$41/2000000000)))+Tx_power_us-10*LOG10(F_Nyquist_us)+1.11</f>
        <v>-98.470722949835647</v>
      </c>
      <c r="L87" s="1">
        <f>20*LOG10(ABS(SIN(PI()*Masks[[#This Row],[f]]/Config!$B$41/2000000000)/(PI()*Masks[[#This Row],[f]]/Config!$B$41/2000000000)))+Tx_power_ds-10*LOG10(F_Nyquist_ds)+1.11</f>
        <v>-98.470722949835647</v>
      </c>
      <c r="M87" s="1">
        <f>10*LOG10(1/(1+(Masks[[#This Row],[f]]/Config!$B$41/1000000000)^6))+Tx_power_us-10*LOG10(F_Nyquist_us)+0.45</f>
        <v>-98.13941849795674</v>
      </c>
      <c r="N87" s="1">
        <f>10*LOG10(1/(1+(Masks[[#This Row],[f]]/Config!$C$41/1000000000)^6))+Tx_power_ds-10*LOG10(F_Nyquist_ds)+0.45</f>
        <v>-98.13941849795674</v>
      </c>
      <c r="O87" s="3">
        <f>IF(Masks[[#This Row],[f]]&gt;F_Nyquist_us,0,1)</f>
        <v>1</v>
      </c>
      <c r="P87" s="3">
        <f>IF(Masks[[#This Row],[f]]&gt;F_Nyquist_ds,0,1)</f>
        <v>1</v>
      </c>
      <c r="Q87" s="2">
        <f>Config!B$40</f>
        <v>-41.640813746660612</v>
      </c>
      <c r="R87" s="3">
        <f>IF(Config!B$8&gt;0,10*LOG10($X$1*Masks[[#This Row],[f]]+Config!B$8*0.00073),-1000)</f>
        <v>-11.629800514590915</v>
      </c>
      <c r="S87" s="3">
        <f>10*LOG10((10^(Masks[[#This Row],[wire_echo]]/10))+(10^(Masks[[#This Row],[connector_echo]]/10)))</f>
        <v>-11.625470728103032</v>
      </c>
      <c r="T87" s="54"/>
      <c r="U87" s="54"/>
    </row>
    <row r="88" spans="1:21" x14ac:dyDescent="0.25">
      <c r="A88" s="2">
        <v>-98.497409394291168</v>
      </c>
      <c r="B88" s="2">
        <v>-98.497409394291168</v>
      </c>
      <c r="D88">
        <f>Calculate[[#This Row],[Freq]]</f>
        <v>3915000000</v>
      </c>
      <c r="E88" s="2">
        <f>MIN(-90, -89-Masks[[#This Row],[f]]/(600000000*S_ch_us),-82-Masks[[#This Row],[f]]/(250000000*S_ch_us))-K_ch_UPSD_us</f>
        <v>-95.589400086720374</v>
      </c>
      <c r="F88" s="2">
        <f>MIN(-90, -89-Masks[[#This Row],[f]]/(600000000*S_ch_ds),-82-Masks[[#This Row],[f]]/(250000000*S_ch_ds))-K_ch_UPSD_ds</f>
        <v>-95.589400086720374</v>
      </c>
      <c r="G88">
        <f>-MAX(MIN(20,20-10*LOG10(2*Masks[[#This Row],[f]]/480000000)),12-3)</f>
        <v>-9</v>
      </c>
      <c r="H88">
        <f>-MAX(MIN(20,20-10*LOG10(2*Masks[[#This Row],[f]]/480000000)),12-3)</f>
        <v>-9</v>
      </c>
      <c r="I88">
        <f>10*LOG10(POWER(10,Tx_power_us/10)/F_Nyquist_us)+IF(Masks[[#This Row],[f]]&gt;F_Nyquist_us,-50)</f>
        <v>-98.470325397914564</v>
      </c>
      <c r="J88" s="3">
        <f>10*LOG10(POWER(10,Tx_power_ds/10)/F_Nyquist_ds)+IF(Masks[[#This Row],[f]]&gt;F_Nyquist_ds,-50)</f>
        <v>-98.470325397914564</v>
      </c>
      <c r="K88" s="1">
        <f>20*LOG10(ABS(SIN(PI()*Masks[[#This Row],[f]]/Config!$B$41/2000000000)/(PI()*Masks[[#This Row],[f]]/Config!$B$41/2000000000)))+Tx_power_us-10*LOG10(F_Nyquist_us)+1.11</f>
        <v>-98.497409394291168</v>
      </c>
      <c r="L88" s="1">
        <f>20*LOG10(ABS(SIN(PI()*Masks[[#This Row],[f]]/Config!$B$41/2000000000)/(PI()*Masks[[#This Row],[f]]/Config!$B$41/2000000000)))+Tx_power_ds-10*LOG10(F_Nyquist_ds)+1.11</f>
        <v>-98.497409394291168</v>
      </c>
      <c r="M88" s="1">
        <f>10*LOG10(1/(1+(Masks[[#This Row],[f]]/Config!$B$41/1000000000)^6))+Tx_power_us-10*LOG10(F_Nyquist_us)+0.45</f>
        <v>-98.147848223706646</v>
      </c>
      <c r="N88" s="1">
        <f>10*LOG10(1/(1+(Masks[[#This Row],[f]]/Config!$C$41/1000000000)^6))+Tx_power_ds-10*LOG10(F_Nyquist_ds)+0.45</f>
        <v>-98.147848223706646</v>
      </c>
      <c r="O88" s="3">
        <f>IF(Masks[[#This Row],[f]]&gt;F_Nyquist_us,0,1)</f>
        <v>1</v>
      </c>
      <c r="P88" s="3">
        <f>IF(Masks[[#This Row],[f]]&gt;F_Nyquist_ds,0,1)</f>
        <v>1</v>
      </c>
      <c r="Q88" s="2">
        <f>Config!B$40</f>
        <v>-41.640813746660612</v>
      </c>
      <c r="R88" s="3">
        <f>IF(Config!B$8&gt;0,10*LOG10($X$1*Masks[[#This Row],[f]]+Config!B$8*0.00073),-1000)</f>
        <v>-11.581714445505904</v>
      </c>
      <c r="S88" s="3">
        <f>10*LOG10((10^(Masks[[#This Row],[wire_echo]]/10))+(10^(Masks[[#This Row],[connector_echo]]/10)))</f>
        <v>-11.577432311472126</v>
      </c>
      <c r="T88" s="54"/>
      <c r="U88" s="54"/>
    </row>
    <row r="89" spans="1:21" x14ac:dyDescent="0.25">
      <c r="A89" s="2">
        <v>-98.524439302142625</v>
      </c>
      <c r="B89" s="2">
        <v>-98.524439302142625</v>
      </c>
      <c r="D89">
        <f>Calculate[[#This Row],[Freq]]</f>
        <v>3960000000</v>
      </c>
      <c r="E89" s="2">
        <f>MIN(-90, -89-Masks[[#This Row],[f]]/(600000000*S_ch_us),-82-Masks[[#This Row],[f]]/(250000000*S_ch_us))-K_ch_UPSD_us</f>
        <v>-95.619400086720375</v>
      </c>
      <c r="F89" s="2">
        <f>MIN(-90, -89-Masks[[#This Row],[f]]/(600000000*S_ch_ds),-82-Masks[[#This Row],[f]]/(250000000*S_ch_ds))-K_ch_UPSD_ds</f>
        <v>-95.619400086720375</v>
      </c>
      <c r="G89">
        <f>-MAX(MIN(20,20-10*LOG10(2*Masks[[#This Row],[f]]/480000000)),12-3)</f>
        <v>-9</v>
      </c>
      <c r="H89">
        <f>-MAX(MIN(20,20-10*LOG10(2*Masks[[#This Row],[f]]/480000000)),12-3)</f>
        <v>-9</v>
      </c>
      <c r="I89">
        <f>10*LOG10(POWER(10,Tx_power_us/10)/F_Nyquist_us)+IF(Masks[[#This Row],[f]]&gt;F_Nyquist_us,-50)</f>
        <v>-98.470325397914564</v>
      </c>
      <c r="J89" s="3">
        <f>10*LOG10(POWER(10,Tx_power_ds/10)/F_Nyquist_ds)+IF(Masks[[#This Row],[f]]&gt;F_Nyquist_ds,-50)</f>
        <v>-98.470325397914564</v>
      </c>
      <c r="K89" s="1">
        <f>20*LOG10(ABS(SIN(PI()*Masks[[#This Row],[f]]/Config!$B$41/2000000000)/(PI()*Masks[[#This Row],[f]]/Config!$B$41/2000000000)))+Tx_power_us-10*LOG10(F_Nyquist_us)+1.11</f>
        <v>-98.524439302142625</v>
      </c>
      <c r="L89" s="1">
        <f>20*LOG10(ABS(SIN(PI()*Masks[[#This Row],[f]]/Config!$B$41/2000000000)/(PI()*Masks[[#This Row],[f]]/Config!$B$41/2000000000)))+Tx_power_ds-10*LOG10(F_Nyquist_ds)+1.11</f>
        <v>-98.524439302142625</v>
      </c>
      <c r="M89" s="1">
        <f>10*LOG10(1/(1+(Masks[[#This Row],[f]]/Config!$B$41/1000000000)^6))+Tx_power_us-10*LOG10(F_Nyquist_us)+0.45</f>
        <v>-98.156758784794562</v>
      </c>
      <c r="N89" s="1">
        <f>10*LOG10(1/(1+(Masks[[#This Row],[f]]/Config!$C$41/1000000000)^6))+Tx_power_ds-10*LOG10(F_Nyquist_ds)+0.45</f>
        <v>-98.156758784794562</v>
      </c>
      <c r="O89" s="3">
        <f>IF(Masks[[#This Row],[f]]&gt;F_Nyquist_us,0,1)</f>
        <v>1</v>
      </c>
      <c r="P89" s="3">
        <f>IF(Masks[[#This Row],[f]]&gt;F_Nyquist_ds,0,1)</f>
        <v>1</v>
      </c>
      <c r="Q89" s="2">
        <f>Config!B$40</f>
        <v>-41.640813746660612</v>
      </c>
      <c r="R89" s="3">
        <f>IF(Config!B$8&gt;0,10*LOG10($X$1*Masks[[#This Row],[f]]+Config!B$8*0.00073),-1000)</f>
        <v>-11.534154971019539</v>
      </c>
      <c r="S89" s="3">
        <f>10*LOG10((10^(Masks[[#This Row],[wire_echo]]/10))+(10^(Masks[[#This Row],[connector_echo]]/10)))</f>
        <v>-11.529919451958095</v>
      </c>
      <c r="T89" s="54"/>
      <c r="U89" s="54"/>
    </row>
    <row r="90" spans="1:21" x14ac:dyDescent="0.25">
      <c r="A90" s="2">
        <v>-98.551814010328769</v>
      </c>
      <c r="B90" s="2">
        <v>-98.551814010328769</v>
      </c>
      <c r="D90">
        <f>Calculate[[#This Row],[Freq]]</f>
        <v>4005000000</v>
      </c>
      <c r="E90" s="2">
        <f>MIN(-90, -89-Masks[[#This Row],[f]]/(600000000*S_ch_us),-82-Masks[[#This Row],[f]]/(250000000*S_ch_us))-K_ch_UPSD_us</f>
        <v>-95.649400086720377</v>
      </c>
      <c r="F90" s="2">
        <f>MIN(-90, -89-Masks[[#This Row],[f]]/(600000000*S_ch_ds),-82-Masks[[#This Row],[f]]/(250000000*S_ch_ds))-K_ch_UPSD_ds</f>
        <v>-95.649400086720377</v>
      </c>
      <c r="G90">
        <f>-MAX(MIN(20,20-10*LOG10(2*Masks[[#This Row],[f]]/480000000)),12-3)</f>
        <v>-9</v>
      </c>
      <c r="H90">
        <f>-MAX(MIN(20,20-10*LOG10(2*Masks[[#This Row],[f]]/480000000)),12-3)</f>
        <v>-9</v>
      </c>
      <c r="I90">
        <f>10*LOG10(POWER(10,Tx_power_us/10)/F_Nyquist_us)+IF(Masks[[#This Row],[f]]&gt;F_Nyquist_us,-50)</f>
        <v>-98.470325397914564</v>
      </c>
      <c r="J90" s="3">
        <f>10*LOG10(POWER(10,Tx_power_ds/10)/F_Nyquist_ds)+IF(Masks[[#This Row],[f]]&gt;F_Nyquist_ds,-50)</f>
        <v>-98.470325397914564</v>
      </c>
      <c r="K90" s="1">
        <f>20*LOG10(ABS(SIN(PI()*Masks[[#This Row],[f]]/Config!$B$41/2000000000)/(PI()*Masks[[#This Row],[f]]/Config!$B$41/2000000000)))+Tx_power_us-10*LOG10(F_Nyquist_us)+1.11</f>
        <v>-98.551814010328769</v>
      </c>
      <c r="L90" s="1">
        <f>20*LOG10(ABS(SIN(PI()*Masks[[#This Row],[f]]/Config!$B$41/2000000000)/(PI()*Masks[[#This Row],[f]]/Config!$B$41/2000000000)))+Tx_power_ds-10*LOG10(F_Nyquist_ds)+1.11</f>
        <v>-98.551814010328769</v>
      </c>
      <c r="M90" s="1">
        <f>10*LOG10(1/(1+(Masks[[#This Row],[f]]/Config!$B$41/1000000000)^6))+Tx_power_us-10*LOG10(F_Nyquist_us)+0.45</f>
        <v>-98.166170395624036</v>
      </c>
      <c r="N90" s="1">
        <f>10*LOG10(1/(1+(Masks[[#This Row],[f]]/Config!$C$41/1000000000)^6))+Tx_power_ds-10*LOG10(F_Nyquist_ds)+0.45</f>
        <v>-98.166170395624036</v>
      </c>
      <c r="O90" s="3">
        <f>IF(Masks[[#This Row],[f]]&gt;F_Nyquist_us,0,1)</f>
        <v>1</v>
      </c>
      <c r="P90" s="3">
        <f>IF(Masks[[#This Row],[f]]&gt;F_Nyquist_ds,0,1)</f>
        <v>1</v>
      </c>
      <c r="Q90" s="2">
        <f>Config!B$40</f>
        <v>-41.640813746660612</v>
      </c>
      <c r="R90" s="3">
        <f>IF(Config!B$8&gt;0,10*LOG10($X$1*Masks[[#This Row],[f]]+Config!B$8*0.00073),-1000)</f>
        <v>-11.487110682393357</v>
      </c>
      <c r="S90" s="3">
        <f>10*LOG10((10^(Masks[[#This Row],[wire_echo]]/10))+(10^(Masks[[#This Row],[connector_echo]]/10)))</f>
        <v>-11.482920774339444</v>
      </c>
      <c r="T90" s="54"/>
      <c r="U90" s="54"/>
    </row>
    <row r="91" spans="1:21" x14ac:dyDescent="0.25">
      <c r="A91" s="2">
        <v>-98.579534879392043</v>
      </c>
      <c r="B91" s="2">
        <v>-98.579534879392043</v>
      </c>
      <c r="D91">
        <f>Calculate[[#This Row],[Freq]]</f>
        <v>4050000000</v>
      </c>
      <c r="E91" s="2">
        <f>MIN(-90, -89-Masks[[#This Row],[f]]/(600000000*S_ch_us),-82-Masks[[#This Row],[f]]/(250000000*S_ch_us))-K_ch_UPSD_us</f>
        <v>-95.679400086720378</v>
      </c>
      <c r="F91" s="2">
        <f>MIN(-90, -89-Masks[[#This Row],[f]]/(600000000*S_ch_ds),-82-Masks[[#This Row],[f]]/(250000000*S_ch_ds))-K_ch_UPSD_ds</f>
        <v>-95.679400086720378</v>
      </c>
      <c r="G91">
        <f>-MAX(MIN(20,20-10*LOG10(2*Masks[[#This Row],[f]]/480000000)),12-3)</f>
        <v>-9</v>
      </c>
      <c r="H91">
        <f>-MAX(MIN(20,20-10*LOG10(2*Masks[[#This Row],[f]]/480000000)),12-3)</f>
        <v>-9</v>
      </c>
      <c r="I91">
        <f>10*LOG10(POWER(10,Tx_power_us/10)/F_Nyquist_us)+IF(Masks[[#This Row],[f]]&gt;F_Nyquist_us,-50)</f>
        <v>-98.470325397914564</v>
      </c>
      <c r="J91" s="3">
        <f>10*LOG10(POWER(10,Tx_power_ds/10)/F_Nyquist_ds)+IF(Masks[[#This Row],[f]]&gt;F_Nyquist_ds,-50)</f>
        <v>-98.470325397914564</v>
      </c>
      <c r="K91" s="1">
        <f>20*LOG10(ABS(SIN(PI()*Masks[[#This Row],[f]]/Config!$B$41/2000000000)/(PI()*Masks[[#This Row],[f]]/Config!$B$41/2000000000)))+Tx_power_us-10*LOG10(F_Nyquist_us)+1.11</f>
        <v>-98.579534879392043</v>
      </c>
      <c r="L91" s="1">
        <f>20*LOG10(ABS(SIN(PI()*Masks[[#This Row],[f]]/Config!$B$41/2000000000)/(PI()*Masks[[#This Row],[f]]/Config!$B$41/2000000000)))+Tx_power_ds-10*LOG10(F_Nyquist_ds)+1.11</f>
        <v>-98.579534879392043</v>
      </c>
      <c r="M91" s="1">
        <f>10*LOG10(1/(1+(Masks[[#This Row],[f]]/Config!$B$41/1000000000)^6))+Tx_power_us-10*LOG10(F_Nyquist_us)+0.45</f>
        <v>-98.17610371732637</v>
      </c>
      <c r="N91" s="1">
        <f>10*LOG10(1/(1+(Masks[[#This Row],[f]]/Config!$C$41/1000000000)^6))+Tx_power_ds-10*LOG10(F_Nyquist_ds)+0.45</f>
        <v>-98.17610371732637</v>
      </c>
      <c r="O91" s="3">
        <f>IF(Masks[[#This Row],[f]]&gt;F_Nyquist_us,0,1)</f>
        <v>1</v>
      </c>
      <c r="P91" s="3">
        <f>IF(Masks[[#This Row],[f]]&gt;F_Nyquist_ds,0,1)</f>
        <v>1</v>
      </c>
      <c r="Q91" s="2">
        <f>Config!B$40</f>
        <v>-41.640813746660612</v>
      </c>
      <c r="R91" s="3">
        <f>IF(Config!B$8&gt;0,10*LOG10($X$1*Masks[[#This Row],[f]]+Config!B$8*0.00073),-1000)</f>
        <v>-11.440570537676839</v>
      </c>
      <c r="S91" s="3">
        <f>10*LOG10((10^(Masks[[#This Row],[wire_echo]]/10))+(10^(Masks[[#This Row],[connector_echo]]/10)))</f>
        <v>-11.436425268754281</v>
      </c>
      <c r="T91" s="54"/>
      <c r="U91" s="54"/>
    </row>
    <row r="92" spans="1:21" x14ac:dyDescent="0.25">
      <c r="A92" s="2">
        <v>-98.607603293832113</v>
      </c>
      <c r="B92" s="2">
        <v>-98.607603293832113</v>
      </c>
      <c r="D92">
        <f>Calculate[[#This Row],[Freq]]</f>
        <v>4095000000</v>
      </c>
      <c r="E92" s="2">
        <f>MIN(-90, -89-Masks[[#This Row],[f]]/(600000000*S_ch_us),-82-Masks[[#This Row],[f]]/(250000000*S_ch_us))-K_ch_UPSD_us</f>
        <v>-95.709400086720379</v>
      </c>
      <c r="F92" s="2">
        <f>MIN(-90, -89-Masks[[#This Row],[f]]/(600000000*S_ch_ds),-82-Masks[[#This Row],[f]]/(250000000*S_ch_ds))-K_ch_UPSD_ds</f>
        <v>-95.709400086720379</v>
      </c>
      <c r="G92">
        <f>-MAX(MIN(20,20-10*LOG10(2*Masks[[#This Row],[f]]/480000000)),12-3)</f>
        <v>-9</v>
      </c>
      <c r="H92">
        <f>-MAX(MIN(20,20-10*LOG10(2*Masks[[#This Row],[f]]/480000000)),12-3)</f>
        <v>-9</v>
      </c>
      <c r="I92">
        <f>10*LOG10(POWER(10,Tx_power_us/10)/F_Nyquist_us)+IF(Masks[[#This Row],[f]]&gt;F_Nyquist_us,-50)</f>
        <v>-98.470325397914564</v>
      </c>
      <c r="J92" s="3">
        <f>10*LOG10(POWER(10,Tx_power_ds/10)/F_Nyquist_ds)+IF(Masks[[#This Row],[f]]&gt;F_Nyquist_ds,-50)</f>
        <v>-98.470325397914564</v>
      </c>
      <c r="K92" s="1">
        <f>20*LOG10(ABS(SIN(PI()*Masks[[#This Row],[f]]/Config!$B$41/2000000000)/(PI()*Masks[[#This Row],[f]]/Config!$B$41/2000000000)))+Tx_power_us-10*LOG10(F_Nyquist_us)+1.11</f>
        <v>-98.607603293832113</v>
      </c>
      <c r="L92" s="1">
        <f>20*LOG10(ABS(SIN(PI()*Masks[[#This Row],[f]]/Config!$B$41/2000000000)/(PI()*Masks[[#This Row],[f]]/Config!$B$41/2000000000)))+Tx_power_ds-10*LOG10(F_Nyquist_ds)+1.11</f>
        <v>-98.607603293832113</v>
      </c>
      <c r="M92" s="1">
        <f>10*LOG10(1/(1+(Masks[[#This Row],[f]]/Config!$B$41/1000000000)^6))+Tx_power_us-10*LOG10(F_Nyquist_us)+0.45</f>
        <v>-98.18657984407804</v>
      </c>
      <c r="N92" s="1">
        <f>10*LOG10(1/(1+(Masks[[#This Row],[f]]/Config!$C$41/1000000000)^6))+Tx_power_ds-10*LOG10(F_Nyquist_ds)+0.45</f>
        <v>-98.18657984407804</v>
      </c>
      <c r="O92" s="3">
        <f>IF(Masks[[#This Row],[f]]&gt;F_Nyquist_us,0,1)</f>
        <v>1</v>
      </c>
      <c r="P92" s="3">
        <f>IF(Masks[[#This Row],[f]]&gt;F_Nyquist_ds,0,1)</f>
        <v>1</v>
      </c>
      <c r="Q92" s="2">
        <f>Config!B$40</f>
        <v>-41.640813746660612</v>
      </c>
      <c r="R92" s="3">
        <f>IF(Config!B$8&gt;0,10*LOG10($X$1*Masks[[#This Row],[f]]+Config!B$8*0.00073),-1000)</f>
        <v>-11.394523846151106</v>
      </c>
      <c r="S92" s="3">
        <f>10*LOG10((10^(Masks[[#This Row],[wire_echo]]/10))+(10^(Masks[[#This Row],[connector_echo]]/10)))</f>
        <v>-11.390422275219274</v>
      </c>
      <c r="T92" s="54"/>
      <c r="U92" s="54"/>
    </row>
    <row r="93" spans="1:21" x14ac:dyDescent="0.25">
      <c r="A93" s="2">
        <v>-98.636020662468042</v>
      </c>
      <c r="B93" s="2">
        <v>-98.636020662468042</v>
      </c>
      <c r="D93">
        <f>Calculate[[#This Row],[Freq]]</f>
        <v>4140000000</v>
      </c>
      <c r="E93" s="2">
        <f>MIN(-90, -89-Masks[[#This Row],[f]]/(600000000*S_ch_us),-82-Masks[[#This Row],[f]]/(250000000*S_ch_us))-K_ch_UPSD_us</f>
        <v>-95.73940008672038</v>
      </c>
      <c r="F93" s="2">
        <f>MIN(-90, -89-Masks[[#This Row],[f]]/(600000000*S_ch_ds),-82-Masks[[#This Row],[f]]/(250000000*S_ch_ds))-K_ch_UPSD_ds</f>
        <v>-95.73940008672038</v>
      </c>
      <c r="G93">
        <f>-MAX(MIN(20,20-10*LOG10(2*Masks[[#This Row],[f]]/480000000)),12-3)</f>
        <v>-9</v>
      </c>
      <c r="H93">
        <f>-MAX(MIN(20,20-10*LOG10(2*Masks[[#This Row],[f]]/480000000)),12-3)</f>
        <v>-9</v>
      </c>
      <c r="I93">
        <f>10*LOG10(POWER(10,Tx_power_us/10)/F_Nyquist_us)+IF(Masks[[#This Row],[f]]&gt;F_Nyquist_us,-50)</f>
        <v>-98.470325397914564</v>
      </c>
      <c r="J93" s="3">
        <f>10*LOG10(POWER(10,Tx_power_ds/10)/F_Nyquist_ds)+IF(Masks[[#This Row],[f]]&gt;F_Nyquist_ds,-50)</f>
        <v>-98.470325397914564</v>
      </c>
      <c r="K93" s="1">
        <f>20*LOG10(ABS(SIN(PI()*Masks[[#This Row],[f]]/Config!$B$41/2000000000)/(PI()*Masks[[#This Row],[f]]/Config!$B$41/2000000000)))+Tx_power_us-10*LOG10(F_Nyquist_us)+1.11</f>
        <v>-98.636020662468042</v>
      </c>
      <c r="L93" s="1">
        <f>20*LOG10(ABS(SIN(PI()*Masks[[#This Row],[f]]/Config!$B$41/2000000000)/(PI()*Masks[[#This Row],[f]]/Config!$B$41/2000000000)))+Tx_power_ds-10*LOG10(F_Nyquist_ds)+1.11</f>
        <v>-98.636020662468042</v>
      </c>
      <c r="M93" s="1">
        <f>10*LOG10(1/(1+(Masks[[#This Row],[f]]/Config!$B$41/1000000000)^6))+Tx_power_us-10*LOG10(F_Nyquist_us)+0.45</f>
        <v>-98.197620287538214</v>
      </c>
      <c r="N93" s="1">
        <f>10*LOG10(1/(1+(Masks[[#This Row],[f]]/Config!$C$41/1000000000)^6))+Tx_power_ds-10*LOG10(F_Nyquist_ds)+0.45</f>
        <v>-98.197620287538214</v>
      </c>
      <c r="O93" s="3">
        <f>IF(Masks[[#This Row],[f]]&gt;F_Nyquist_us,0,1)</f>
        <v>1</v>
      </c>
      <c r="P93" s="3">
        <f>IF(Masks[[#This Row],[f]]&gt;F_Nyquist_ds,0,1)</f>
        <v>1</v>
      </c>
      <c r="Q93" s="2">
        <f>Config!B$40</f>
        <v>-41.640813746660612</v>
      </c>
      <c r="R93" s="3">
        <f>IF(Config!B$8&gt;0,10*LOG10($X$1*Masks[[#This Row],[f]]+Config!B$8*0.00073),-1000)</f>
        <v>-11.34896025358872</v>
      </c>
      <c r="S93" s="3">
        <f>10*LOG10((10^(Masks[[#This Row],[wire_echo]]/10))+(10^(Masks[[#This Row],[connector_echo]]/10)))</f>
        <v>-11.344901468960044</v>
      </c>
      <c r="T93" s="54"/>
      <c r="U93" s="54"/>
    </row>
    <row r="94" spans="1:21" x14ac:dyDescent="0.25">
      <c r="A94" s="2">
        <v>-98.664788418809323</v>
      </c>
      <c r="B94" s="2">
        <v>-98.664788418809323</v>
      </c>
      <c r="D94">
        <f>Calculate[[#This Row],[Freq]]</f>
        <v>4185000000</v>
      </c>
      <c r="E94" s="2">
        <f>MIN(-90, -89-Masks[[#This Row],[f]]/(600000000*S_ch_us),-82-Masks[[#This Row],[f]]/(250000000*S_ch_us))-K_ch_UPSD_us</f>
        <v>-95.769400086720381</v>
      </c>
      <c r="F94" s="2">
        <f>MIN(-90, -89-Masks[[#This Row],[f]]/(600000000*S_ch_ds),-82-Masks[[#This Row],[f]]/(250000000*S_ch_ds))-K_ch_UPSD_ds</f>
        <v>-95.769400086720381</v>
      </c>
      <c r="G94">
        <f>-MAX(MIN(20,20-10*LOG10(2*Masks[[#This Row],[f]]/480000000)),12-3)</f>
        <v>-9</v>
      </c>
      <c r="H94">
        <f>-MAX(MIN(20,20-10*LOG10(2*Masks[[#This Row],[f]]/480000000)),12-3)</f>
        <v>-9</v>
      </c>
      <c r="I94">
        <f>10*LOG10(POWER(10,Tx_power_us/10)/F_Nyquist_us)+IF(Masks[[#This Row],[f]]&gt;F_Nyquist_us,-50)</f>
        <v>-98.470325397914564</v>
      </c>
      <c r="J94" s="3">
        <f>10*LOG10(POWER(10,Tx_power_ds/10)/F_Nyquist_ds)+IF(Masks[[#This Row],[f]]&gt;F_Nyquist_ds,-50)</f>
        <v>-98.470325397914564</v>
      </c>
      <c r="K94" s="1">
        <f>20*LOG10(ABS(SIN(PI()*Masks[[#This Row],[f]]/Config!$B$41/2000000000)/(PI()*Masks[[#This Row],[f]]/Config!$B$41/2000000000)))+Tx_power_us-10*LOG10(F_Nyquist_us)+1.11</f>
        <v>-98.664788418809323</v>
      </c>
      <c r="L94" s="1">
        <f>20*LOG10(ABS(SIN(PI()*Masks[[#This Row],[f]]/Config!$B$41/2000000000)/(PI()*Masks[[#This Row],[f]]/Config!$B$41/2000000000)))+Tx_power_ds-10*LOG10(F_Nyquist_ds)+1.11</f>
        <v>-98.664788418809323</v>
      </c>
      <c r="M94" s="1">
        <f>10*LOG10(1/(1+(Masks[[#This Row],[f]]/Config!$B$41/1000000000)^6))+Tx_power_us-10*LOG10(F_Nyquist_us)+0.45</f>
        <v>-98.209246959339239</v>
      </c>
      <c r="N94" s="1">
        <f>10*LOG10(1/(1+(Masks[[#This Row],[f]]/Config!$C$41/1000000000)^6))+Tx_power_ds-10*LOG10(F_Nyquist_ds)+0.45</f>
        <v>-98.209246959339239</v>
      </c>
      <c r="O94" s="3">
        <f>IF(Masks[[#This Row],[f]]&gt;F_Nyquist_us,0,1)</f>
        <v>1</v>
      </c>
      <c r="P94" s="3">
        <f>IF(Masks[[#This Row],[f]]&gt;F_Nyquist_ds,0,1)</f>
        <v>1</v>
      </c>
      <c r="Q94" s="2">
        <f>Config!B$40</f>
        <v>-41.640813746660612</v>
      </c>
      <c r="R94" s="3">
        <f>IF(Config!B$8&gt;0,10*LOG10($X$1*Masks[[#This Row],[f]]+Config!B$8*0.00073),-1000)</f>
        <v>-11.303869728278713</v>
      </c>
      <c r="S94" s="3">
        <f>10*LOG10((10^(Masks[[#This Row],[wire_echo]]/10))+(10^(Masks[[#This Row],[connector_echo]]/10)))</f>
        <v>-11.29985284650239</v>
      </c>
      <c r="T94" s="54"/>
      <c r="U94" s="54"/>
    </row>
    <row r="95" spans="1:21" x14ac:dyDescent="0.25">
      <c r="A95" s="2">
        <v>-98.693908021436144</v>
      </c>
      <c r="B95" s="2">
        <v>-98.693908021436144</v>
      </c>
      <c r="D95">
        <f>Calculate[[#This Row],[Freq]]</f>
        <v>4230000000</v>
      </c>
      <c r="E95" s="2">
        <f>MIN(-90, -89-Masks[[#This Row],[f]]/(600000000*S_ch_us),-82-Masks[[#This Row],[f]]/(250000000*S_ch_us))-K_ch_UPSD_us</f>
        <v>-95.799400086720368</v>
      </c>
      <c r="F95" s="2">
        <f>MIN(-90, -89-Masks[[#This Row],[f]]/(600000000*S_ch_ds),-82-Masks[[#This Row],[f]]/(250000000*S_ch_ds))-K_ch_UPSD_ds</f>
        <v>-95.799400086720368</v>
      </c>
      <c r="G95">
        <f>-MAX(MIN(20,20-10*LOG10(2*Masks[[#This Row],[f]]/480000000)),12-3)</f>
        <v>-9</v>
      </c>
      <c r="H95">
        <f>-MAX(MIN(20,20-10*LOG10(2*Masks[[#This Row],[f]]/480000000)),12-3)</f>
        <v>-9</v>
      </c>
      <c r="I95">
        <f>10*LOG10(POWER(10,Tx_power_us/10)/F_Nyquist_us)+IF(Masks[[#This Row],[f]]&gt;F_Nyquist_us,-50)</f>
        <v>-98.470325397914564</v>
      </c>
      <c r="J95" s="3">
        <f>10*LOG10(POWER(10,Tx_power_ds/10)/F_Nyquist_ds)+IF(Masks[[#This Row],[f]]&gt;F_Nyquist_ds,-50)</f>
        <v>-98.470325397914564</v>
      </c>
      <c r="K95" s="1">
        <f>20*LOG10(ABS(SIN(PI()*Masks[[#This Row],[f]]/Config!$B$41/2000000000)/(PI()*Masks[[#This Row],[f]]/Config!$B$41/2000000000)))+Tx_power_us-10*LOG10(F_Nyquist_us)+1.11</f>
        <v>-98.693908021436144</v>
      </c>
      <c r="L95" s="1">
        <f>20*LOG10(ABS(SIN(PI()*Masks[[#This Row],[f]]/Config!$B$41/2000000000)/(PI()*Masks[[#This Row],[f]]/Config!$B$41/2000000000)))+Tx_power_ds-10*LOG10(F_Nyquist_ds)+1.11</f>
        <v>-98.693908021436144</v>
      </c>
      <c r="M95" s="1">
        <f>10*LOG10(1/(1+(Masks[[#This Row],[f]]/Config!$B$41/1000000000)^6))+Tx_power_us-10*LOG10(F_Nyquist_us)+0.45</f>
        <v>-98.221482151567997</v>
      </c>
      <c r="N95" s="1">
        <f>10*LOG10(1/(1+(Masks[[#This Row],[f]]/Config!$C$41/1000000000)^6))+Tx_power_ds-10*LOG10(F_Nyquist_ds)+0.45</f>
        <v>-98.221482151567997</v>
      </c>
      <c r="O95" s="3">
        <f>IF(Masks[[#This Row],[f]]&gt;F_Nyquist_us,0,1)</f>
        <v>1</v>
      </c>
      <c r="P95" s="3">
        <f>IF(Masks[[#This Row],[f]]&gt;F_Nyquist_ds,0,1)</f>
        <v>1</v>
      </c>
      <c r="Q95" s="2">
        <f>Config!B$40</f>
        <v>-41.640813746660612</v>
      </c>
      <c r="R95" s="3">
        <f>IF(Config!B$8&gt;0,10*LOG10($X$1*Masks[[#This Row],[f]]+Config!B$8*0.00073),-1000)</f>
        <v>-11.25924254776965</v>
      </c>
      <c r="S95" s="3">
        <f>10*LOG10((10^(Masks[[#This Row],[wire_echo]]/10))+(10^(Masks[[#This Row],[connector_echo]]/10)))</f>
        <v>-11.255266712477487</v>
      </c>
      <c r="T95" s="54"/>
      <c r="U95" s="54"/>
    </row>
    <row r="96" spans="1:21" x14ac:dyDescent="0.25">
      <c r="A96" s="2">
        <v>-98.723380954388901</v>
      </c>
      <c r="B96" s="2">
        <v>-98.723380954388901</v>
      </c>
      <c r="D96">
        <f>Calculate[[#This Row],[Freq]]</f>
        <v>4275000000</v>
      </c>
      <c r="E96" s="2">
        <f>MIN(-90, -89-Masks[[#This Row],[f]]/(600000000*S_ch_us),-82-Masks[[#This Row],[f]]/(250000000*S_ch_us))-K_ch_UPSD_us</f>
        <v>-95.829400086720369</v>
      </c>
      <c r="F96" s="2">
        <f>MIN(-90, -89-Masks[[#This Row],[f]]/(600000000*S_ch_ds),-82-Masks[[#This Row],[f]]/(250000000*S_ch_ds))-K_ch_UPSD_ds</f>
        <v>-95.829400086720369</v>
      </c>
      <c r="G96">
        <f>-MAX(MIN(20,20-10*LOG10(2*Masks[[#This Row],[f]]/480000000)),12-3)</f>
        <v>-9</v>
      </c>
      <c r="H96">
        <f>-MAX(MIN(20,20-10*LOG10(2*Masks[[#This Row],[f]]/480000000)),12-3)</f>
        <v>-9</v>
      </c>
      <c r="I96">
        <f>10*LOG10(POWER(10,Tx_power_us/10)/F_Nyquist_us)+IF(Masks[[#This Row],[f]]&gt;F_Nyquist_us,-50)</f>
        <v>-98.470325397914564</v>
      </c>
      <c r="J96" s="3">
        <f>10*LOG10(POWER(10,Tx_power_ds/10)/F_Nyquist_ds)+IF(Masks[[#This Row],[f]]&gt;F_Nyquist_ds,-50)</f>
        <v>-98.470325397914564</v>
      </c>
      <c r="K96" s="1">
        <f>20*LOG10(ABS(SIN(PI()*Masks[[#This Row],[f]]/Config!$B$41/2000000000)/(PI()*Masks[[#This Row],[f]]/Config!$B$41/2000000000)))+Tx_power_us-10*LOG10(F_Nyquist_us)+1.11</f>
        <v>-98.723380954388901</v>
      </c>
      <c r="L96" s="1">
        <f>20*LOG10(ABS(SIN(PI()*Masks[[#This Row],[f]]/Config!$B$41/2000000000)/(PI()*Masks[[#This Row],[f]]/Config!$B$41/2000000000)))+Tx_power_ds-10*LOG10(F_Nyquist_ds)+1.11</f>
        <v>-98.723380954388901</v>
      </c>
      <c r="M96" s="1">
        <f>10*LOG10(1/(1+(Masks[[#This Row],[f]]/Config!$B$41/1000000000)^6))+Tx_power_us-10*LOG10(F_Nyquist_us)+0.45</f>
        <v>-98.234348515181694</v>
      </c>
      <c r="N96" s="1">
        <f>10*LOG10(1/(1+(Masks[[#This Row],[f]]/Config!$C$41/1000000000)^6))+Tx_power_ds-10*LOG10(F_Nyquist_ds)+0.45</f>
        <v>-98.234348515181694</v>
      </c>
      <c r="O96" s="3">
        <f>IF(Masks[[#This Row],[f]]&gt;F_Nyquist_us,0,1)</f>
        <v>1</v>
      </c>
      <c r="P96" s="3">
        <f>IF(Masks[[#This Row],[f]]&gt;F_Nyquist_ds,0,1)</f>
        <v>1</v>
      </c>
      <c r="Q96" s="2">
        <f>Config!B$40</f>
        <v>-41.640813746660612</v>
      </c>
      <c r="R96" s="3">
        <f>IF(Config!B$8&gt;0,10*LOG10($X$1*Masks[[#This Row],[f]]+Config!B$8*0.00073),-1000)</f>
        <v>-11.21506928628696</v>
      </c>
      <c r="S96" s="3">
        <f>10*LOG10((10^(Masks[[#This Row],[wire_echo]]/10))+(10^(Masks[[#This Row],[connector_echo]]/10)))</f>
        <v>-11.211133667097608</v>
      </c>
      <c r="T96" s="54"/>
      <c r="U96" s="54"/>
    </row>
    <row r="97" spans="1:21" x14ac:dyDescent="0.25">
      <c r="A97" s="2">
        <v>-98.753208727567383</v>
      </c>
      <c r="B97" s="2">
        <v>-98.753208727567383</v>
      </c>
      <c r="D97">
        <f>Calculate[[#This Row],[Freq]]</f>
        <v>4320000000</v>
      </c>
      <c r="E97" s="2">
        <f>MIN(-90, -89-Masks[[#This Row],[f]]/(600000000*S_ch_us),-82-Masks[[#This Row],[f]]/(250000000*S_ch_us))-K_ch_UPSD_us</f>
        <v>-95.85940008672037</v>
      </c>
      <c r="F97" s="2">
        <f>MIN(-90, -89-Masks[[#This Row],[f]]/(600000000*S_ch_ds),-82-Masks[[#This Row],[f]]/(250000000*S_ch_ds))-K_ch_UPSD_ds</f>
        <v>-95.85940008672037</v>
      </c>
      <c r="G97">
        <f>-MAX(MIN(20,20-10*LOG10(2*Masks[[#This Row],[f]]/480000000)),12-3)</f>
        <v>-9</v>
      </c>
      <c r="H97">
        <f>-MAX(MIN(20,20-10*LOG10(2*Masks[[#This Row],[f]]/480000000)),12-3)</f>
        <v>-9</v>
      </c>
      <c r="I97">
        <f>10*LOG10(POWER(10,Tx_power_us/10)/F_Nyquist_us)+IF(Masks[[#This Row],[f]]&gt;F_Nyquist_us,-50)</f>
        <v>-98.470325397914564</v>
      </c>
      <c r="J97" s="3">
        <f>10*LOG10(POWER(10,Tx_power_ds/10)/F_Nyquist_ds)+IF(Masks[[#This Row],[f]]&gt;F_Nyquist_ds,-50)</f>
        <v>-98.470325397914564</v>
      </c>
      <c r="K97" s="1">
        <f>20*LOG10(ABS(SIN(PI()*Masks[[#This Row],[f]]/Config!$B$41/2000000000)/(PI()*Masks[[#This Row],[f]]/Config!$B$41/2000000000)))+Tx_power_us-10*LOG10(F_Nyquist_us)+1.11</f>
        <v>-98.753208727567383</v>
      </c>
      <c r="L97" s="1">
        <f>20*LOG10(ABS(SIN(PI()*Masks[[#This Row],[f]]/Config!$B$41/2000000000)/(PI()*Masks[[#This Row],[f]]/Config!$B$41/2000000000)))+Tx_power_ds-10*LOG10(F_Nyquist_ds)+1.11</f>
        <v>-98.753208727567383</v>
      </c>
      <c r="M97" s="1">
        <f>10*LOG10(1/(1+(Masks[[#This Row],[f]]/Config!$B$41/1000000000)^6))+Tx_power_us-10*LOG10(F_Nyquist_us)+0.45</f>
        <v>-98.247869036308259</v>
      </c>
      <c r="N97" s="1">
        <f>10*LOG10(1/(1+(Masks[[#This Row],[f]]/Config!$C$41/1000000000)^6))+Tx_power_ds-10*LOG10(F_Nyquist_ds)+0.45</f>
        <v>-98.247869036308259</v>
      </c>
      <c r="O97" s="3">
        <f>IF(Masks[[#This Row],[f]]&gt;F_Nyquist_us,0,1)</f>
        <v>1</v>
      </c>
      <c r="P97" s="3">
        <f>IF(Masks[[#This Row],[f]]&gt;F_Nyquist_ds,0,1)</f>
        <v>1</v>
      </c>
      <c r="Q97" s="2">
        <f>Config!B$40</f>
        <v>-41.640813746660612</v>
      </c>
      <c r="R97" s="3">
        <f>IF(Config!B$8&gt;0,10*LOG10($X$1*Masks[[#This Row],[f]]+Config!B$8*0.00073),-1000)</f>
        <v>-11.171340802783709</v>
      </c>
      <c r="S97" s="3">
        <f>10*LOG10((10^(Masks[[#This Row],[wire_echo]]/10))+(10^(Masks[[#This Row],[connector_echo]]/10)))</f>
        <v>-11.167444594261742</v>
      </c>
      <c r="T97" s="54"/>
      <c r="U97" s="54"/>
    </row>
    <row r="98" spans="1:21" x14ac:dyDescent="0.25">
      <c r="A98" s="2">
        <v>-98.78339287713986</v>
      </c>
      <c r="B98" s="2">
        <v>-98.78339287713986</v>
      </c>
      <c r="D98">
        <f>Calculate[[#This Row],[Freq]]</f>
        <v>4365000000</v>
      </c>
      <c r="E98" s="2">
        <f>MIN(-90, -89-Masks[[#This Row],[f]]/(600000000*S_ch_us),-82-Masks[[#This Row],[f]]/(250000000*S_ch_us))-K_ch_UPSD_us</f>
        <v>-95.889400086720372</v>
      </c>
      <c r="F98" s="2">
        <f>MIN(-90, -89-Masks[[#This Row],[f]]/(600000000*S_ch_ds),-82-Masks[[#This Row],[f]]/(250000000*S_ch_ds))-K_ch_UPSD_ds</f>
        <v>-95.889400086720372</v>
      </c>
      <c r="G98">
        <f>-MAX(MIN(20,20-10*LOG10(2*Masks[[#This Row],[f]]/480000000)),12-3)</f>
        <v>-9</v>
      </c>
      <c r="H98">
        <f>-MAX(MIN(20,20-10*LOG10(2*Masks[[#This Row],[f]]/480000000)),12-3)</f>
        <v>-9</v>
      </c>
      <c r="I98">
        <f>10*LOG10(POWER(10,Tx_power_us/10)/F_Nyquist_us)+IF(Masks[[#This Row],[f]]&gt;F_Nyquist_us,-50)</f>
        <v>-98.470325397914564</v>
      </c>
      <c r="J98" s="3">
        <f>10*LOG10(POWER(10,Tx_power_ds/10)/F_Nyquist_ds)+IF(Masks[[#This Row],[f]]&gt;F_Nyquist_ds,-50)</f>
        <v>-98.470325397914564</v>
      </c>
      <c r="K98" s="1">
        <f>20*LOG10(ABS(SIN(PI()*Masks[[#This Row],[f]]/Config!$B$41/2000000000)/(PI()*Masks[[#This Row],[f]]/Config!$B$41/2000000000)))+Tx_power_us-10*LOG10(F_Nyquist_us)+1.11</f>
        <v>-98.78339287713986</v>
      </c>
      <c r="L98" s="1">
        <f>20*LOG10(ABS(SIN(PI()*Masks[[#This Row],[f]]/Config!$B$41/2000000000)/(PI()*Masks[[#This Row],[f]]/Config!$B$41/2000000000)))+Tx_power_ds-10*LOG10(F_Nyquist_ds)+1.11</f>
        <v>-98.78339287713986</v>
      </c>
      <c r="M98" s="1">
        <f>10*LOG10(1/(1+(Masks[[#This Row],[f]]/Config!$B$41/1000000000)^6))+Tx_power_us-10*LOG10(F_Nyquist_us)+0.45</f>
        <v>-98.26206701038943</v>
      </c>
      <c r="N98" s="1">
        <f>10*LOG10(1/(1+(Masks[[#This Row],[f]]/Config!$C$41/1000000000)^6))+Tx_power_ds-10*LOG10(F_Nyquist_ds)+0.45</f>
        <v>-98.26206701038943</v>
      </c>
      <c r="O98" s="3">
        <f>IF(Masks[[#This Row],[f]]&gt;F_Nyquist_us,0,1)</f>
        <v>1</v>
      </c>
      <c r="P98" s="3">
        <f>IF(Masks[[#This Row],[f]]&gt;F_Nyquist_ds,0,1)</f>
        <v>1</v>
      </c>
      <c r="Q98" s="2">
        <f>Config!B$40</f>
        <v>-41.640813746660612</v>
      </c>
      <c r="R98" s="3">
        <f>IF(Config!B$8&gt;0,10*LOG10($X$1*Masks[[#This Row],[f]]+Config!B$8*0.00073),-1000)</f>
        <v>-11.128048229587019</v>
      </c>
      <c r="S98" s="3">
        <f>10*LOG10((10^(Masks[[#This Row],[wire_echo]]/10))+(10^(Masks[[#This Row],[connector_echo]]/10)))</f>
        <v>-11.124190650253622</v>
      </c>
      <c r="T98" s="54"/>
      <c r="U98" s="54"/>
    </row>
    <row r="99" spans="1:21" x14ac:dyDescent="0.25">
      <c r="A99" s="2">
        <v>-98.813934965962218</v>
      </c>
      <c r="B99" s="2">
        <v>-98.813934965962218</v>
      </c>
      <c r="D99">
        <f>Calculate[[#This Row],[Freq]]</f>
        <v>4410000000</v>
      </c>
      <c r="E99" s="2">
        <f>MIN(-90, -89-Masks[[#This Row],[f]]/(600000000*S_ch_us),-82-Masks[[#This Row],[f]]/(250000000*S_ch_us))-K_ch_UPSD_us</f>
        <v>-95.919400086720373</v>
      </c>
      <c r="F99" s="2">
        <f>MIN(-90, -89-Masks[[#This Row],[f]]/(600000000*S_ch_ds),-82-Masks[[#This Row],[f]]/(250000000*S_ch_ds))-K_ch_UPSD_ds</f>
        <v>-95.919400086720373</v>
      </c>
      <c r="G99">
        <f>-MAX(MIN(20,20-10*LOG10(2*Masks[[#This Row],[f]]/480000000)),12-3)</f>
        <v>-9</v>
      </c>
      <c r="H99">
        <f>-MAX(MIN(20,20-10*LOG10(2*Masks[[#This Row],[f]]/480000000)),12-3)</f>
        <v>-9</v>
      </c>
      <c r="I99">
        <f>10*LOG10(POWER(10,Tx_power_us/10)/F_Nyquist_us)+IF(Masks[[#This Row],[f]]&gt;F_Nyquist_us,-50)</f>
        <v>-98.470325397914564</v>
      </c>
      <c r="J99" s="3">
        <f>10*LOG10(POWER(10,Tx_power_ds/10)/F_Nyquist_ds)+IF(Masks[[#This Row],[f]]&gt;F_Nyquist_ds,-50)</f>
        <v>-98.470325397914564</v>
      </c>
      <c r="K99" s="1">
        <f>20*LOG10(ABS(SIN(PI()*Masks[[#This Row],[f]]/Config!$B$41/2000000000)/(PI()*Masks[[#This Row],[f]]/Config!$B$41/2000000000)))+Tx_power_us-10*LOG10(F_Nyquist_us)+1.11</f>
        <v>-98.813934965962218</v>
      </c>
      <c r="L99" s="1">
        <f>20*LOG10(ABS(SIN(PI()*Masks[[#This Row],[f]]/Config!$B$41/2000000000)/(PI()*Masks[[#This Row],[f]]/Config!$B$41/2000000000)))+Tx_power_ds-10*LOG10(F_Nyquist_ds)+1.11</f>
        <v>-98.813934965962218</v>
      </c>
      <c r="M99" s="1">
        <f>10*LOG10(1/(1+(Masks[[#This Row],[f]]/Config!$B$41/1000000000)^6))+Tx_power_us-10*LOG10(F_Nyquist_us)+0.45</f>
        <v>-98.276966014132725</v>
      </c>
      <c r="N99" s="1">
        <f>10*LOG10(1/(1+(Masks[[#This Row],[f]]/Config!$C$41/1000000000)^6))+Tx_power_ds-10*LOG10(F_Nyquist_ds)+0.45</f>
        <v>-98.276966014132725</v>
      </c>
      <c r="O99" s="3">
        <f>IF(Masks[[#This Row],[f]]&gt;F_Nyquist_us,0,1)</f>
        <v>1</v>
      </c>
      <c r="P99" s="3">
        <f>IF(Masks[[#This Row],[f]]&gt;F_Nyquist_ds,0,1)</f>
        <v>1</v>
      </c>
      <c r="Q99" s="2">
        <f>Config!B$40</f>
        <v>-41.640813746660612</v>
      </c>
      <c r="R99" s="3">
        <f>IF(Config!B$8&gt;0,10*LOG10($X$1*Masks[[#This Row],[f]]+Config!B$8*0.00073),-1000)</f>
        <v>-11.085182961604801</v>
      </c>
      <c r="S99" s="3">
        <f>10*LOG10((10^(Masks[[#This Row],[wire_echo]]/10))+(10^(Masks[[#This Row],[connector_echo]]/10)))</f>
        <v>-11.081363252997026</v>
      </c>
      <c r="T99" s="54"/>
      <c r="U99" s="54"/>
    </row>
    <row r="100" spans="1:21" x14ac:dyDescent="0.25">
      <c r="A100" s="2">
        <v>-98.844836584007595</v>
      </c>
      <c r="B100" s="2">
        <v>-98.844836584007595</v>
      </c>
      <c r="D100">
        <f>Calculate[[#This Row],[Freq]]</f>
        <v>4455000000</v>
      </c>
      <c r="E100" s="2">
        <f>MIN(-90, -89-Masks[[#This Row],[f]]/(600000000*S_ch_us),-82-Masks[[#This Row],[f]]/(250000000*S_ch_us))-K_ch_UPSD_us</f>
        <v>-95.949400086720374</v>
      </c>
      <c r="F100" s="2">
        <f>MIN(-90, -89-Masks[[#This Row],[f]]/(600000000*S_ch_ds),-82-Masks[[#This Row],[f]]/(250000000*S_ch_ds))-K_ch_UPSD_ds</f>
        <v>-95.949400086720374</v>
      </c>
      <c r="G100">
        <f>-MAX(MIN(20,20-10*LOG10(2*Masks[[#This Row],[f]]/480000000)),12-3)</f>
        <v>-9</v>
      </c>
      <c r="H100">
        <f>-MAX(MIN(20,20-10*LOG10(2*Masks[[#This Row],[f]]/480000000)),12-3)</f>
        <v>-9</v>
      </c>
      <c r="I100">
        <f>10*LOG10(POWER(10,Tx_power_us/10)/F_Nyquist_us)+IF(Masks[[#This Row],[f]]&gt;F_Nyquist_us,-50)</f>
        <v>-98.470325397914564</v>
      </c>
      <c r="J100" s="3">
        <f>10*LOG10(POWER(10,Tx_power_ds/10)/F_Nyquist_ds)+IF(Masks[[#This Row],[f]]&gt;F_Nyquist_ds,-50)</f>
        <v>-98.470325397914564</v>
      </c>
      <c r="K100" s="1">
        <f>20*LOG10(ABS(SIN(PI()*Masks[[#This Row],[f]]/Config!$B$41/2000000000)/(PI()*Masks[[#This Row],[f]]/Config!$B$41/2000000000)))+Tx_power_us-10*LOG10(F_Nyquist_us)+1.11</f>
        <v>-98.844836584007595</v>
      </c>
      <c r="L100" s="1">
        <f>20*LOG10(ABS(SIN(PI()*Masks[[#This Row],[f]]/Config!$B$41/2000000000)/(PI()*Masks[[#This Row],[f]]/Config!$B$41/2000000000)))+Tx_power_ds-10*LOG10(F_Nyquist_ds)+1.11</f>
        <v>-98.844836584007595</v>
      </c>
      <c r="M100" s="1">
        <f>10*LOG10(1/(1+(Masks[[#This Row],[f]]/Config!$B$41/1000000000)^6))+Tx_power_us-10*LOG10(F_Nyquist_us)+0.45</f>
        <v>-98.29258987524878</v>
      </c>
      <c r="N100" s="1">
        <f>10*LOG10(1/(1+(Masks[[#This Row],[f]]/Config!$C$41/1000000000)^6))+Tx_power_ds-10*LOG10(F_Nyquist_ds)+0.45</f>
        <v>-98.29258987524878</v>
      </c>
      <c r="O100" s="3">
        <f>IF(Masks[[#This Row],[f]]&gt;F_Nyquist_us,0,1)</f>
        <v>1</v>
      </c>
      <c r="P100" s="3">
        <f>IF(Masks[[#This Row],[f]]&gt;F_Nyquist_ds,0,1)</f>
        <v>1</v>
      </c>
      <c r="Q100" s="2">
        <f>Config!B$40</f>
        <v>-41.640813746660612</v>
      </c>
      <c r="R100" s="3">
        <f>IF(Config!B$8&gt;0,10*LOG10($X$1*Masks[[#This Row],[f]]+Config!B$8*0.00073),-1000)</f>
        <v>-11.042736646059943</v>
      </c>
      <c r="S100" s="3">
        <f>10*LOG10((10^(Masks[[#This Row],[wire_echo]]/10))+(10^(Masks[[#This Row],[connector_echo]]/10)))</f>
        <v>-11.038954071835684</v>
      </c>
      <c r="T100" s="54"/>
      <c r="U100" s="54"/>
    </row>
    <row r="101" spans="1:21" x14ac:dyDescent="0.25">
      <c r="A101" s="2">
        <v>-98.876099348806591</v>
      </c>
      <c r="B101" s="2">
        <v>-98.876099348806591</v>
      </c>
      <c r="D101">
        <f>Calculate[[#This Row],[Freq]]</f>
        <v>4500000000</v>
      </c>
      <c r="E101" s="2">
        <f>MIN(-90, -89-Masks[[#This Row],[f]]/(600000000*S_ch_us),-82-Masks[[#This Row],[f]]/(250000000*S_ch_us))-K_ch_UPSD_us</f>
        <v>-95.979400086720375</v>
      </c>
      <c r="F101" s="2">
        <f>MIN(-90, -89-Masks[[#This Row],[f]]/(600000000*S_ch_ds),-82-Masks[[#This Row],[f]]/(250000000*S_ch_ds))-K_ch_UPSD_ds</f>
        <v>-95.979400086720375</v>
      </c>
      <c r="G101">
        <f>-MAX(MIN(20,20-10*LOG10(2*Masks[[#This Row],[f]]/480000000)),12-3)</f>
        <v>-9</v>
      </c>
      <c r="H101">
        <f>-MAX(MIN(20,20-10*LOG10(2*Masks[[#This Row],[f]]/480000000)),12-3)</f>
        <v>-9</v>
      </c>
      <c r="I101">
        <f>10*LOG10(POWER(10,Tx_power_us/10)/F_Nyquist_us)+IF(Masks[[#This Row],[f]]&gt;F_Nyquist_us,-50)</f>
        <v>-98.470325397914564</v>
      </c>
      <c r="J101" s="3">
        <f>10*LOG10(POWER(10,Tx_power_ds/10)/F_Nyquist_ds)+IF(Masks[[#This Row],[f]]&gt;F_Nyquist_ds,-50)</f>
        <v>-98.470325397914564</v>
      </c>
      <c r="K101" s="1">
        <f>20*LOG10(ABS(SIN(PI()*Masks[[#This Row],[f]]/Config!$B$41/2000000000)/(PI()*Masks[[#This Row],[f]]/Config!$B$41/2000000000)))+Tx_power_us-10*LOG10(F_Nyquist_us)+1.11</f>
        <v>-98.876099348806591</v>
      </c>
      <c r="L101" s="1">
        <f>20*LOG10(ABS(SIN(PI()*Masks[[#This Row],[f]]/Config!$B$41/2000000000)/(PI()*Masks[[#This Row],[f]]/Config!$B$41/2000000000)))+Tx_power_ds-10*LOG10(F_Nyquist_ds)+1.11</f>
        <v>-98.876099348806591</v>
      </c>
      <c r="M101" s="1">
        <f>10*LOG10(1/(1+(Masks[[#This Row],[f]]/Config!$B$41/1000000000)^6))+Tx_power_us-10*LOG10(F_Nyquist_us)+0.45</f>
        <v>-98.308962639960612</v>
      </c>
      <c r="N101" s="1">
        <f>10*LOG10(1/(1+(Masks[[#This Row],[f]]/Config!$C$41/1000000000)^6))+Tx_power_ds-10*LOG10(F_Nyquist_ds)+0.45</f>
        <v>-98.308962639960612</v>
      </c>
      <c r="O101" s="3">
        <f>IF(Masks[[#This Row],[f]]&gt;F_Nyquist_us,0,1)</f>
        <v>1</v>
      </c>
      <c r="P101" s="3">
        <f>IF(Masks[[#This Row],[f]]&gt;F_Nyquist_ds,0,1)</f>
        <v>1</v>
      </c>
      <c r="Q101" s="2">
        <f>Config!B$40</f>
        <v>-41.640813746660612</v>
      </c>
      <c r="R101" s="3">
        <f>IF(Config!B$8&gt;0,10*LOG10($X$1*Masks[[#This Row],[f]]+Config!B$8*0.00073),-1000)</f>
        <v>-11.000701172721358</v>
      </c>
      <c r="S101" s="3">
        <f>10*LOG10((10^(Masks[[#This Row],[wire_echo]]/10))+(10^(Masks[[#This Row],[connector_echo]]/10)))</f>
        <v>-10.996955017807421</v>
      </c>
      <c r="T101" s="54"/>
      <c r="U101" s="54"/>
    </row>
    <row r="102" spans="1:21" x14ac:dyDescent="0.25">
      <c r="A102" s="2">
        <v>-98.907724905898633</v>
      </c>
      <c r="B102" s="2">
        <v>-98.907724905898633</v>
      </c>
      <c r="D102">
        <f>Calculate[[#This Row],[Freq]]</f>
        <v>4545000000</v>
      </c>
      <c r="E102" s="2">
        <f>MIN(-90, -89-Masks[[#This Row],[f]]/(600000000*S_ch_us),-82-Masks[[#This Row],[f]]/(250000000*S_ch_us))-K_ch_UPSD_us</f>
        <v>-96.009400086720376</v>
      </c>
      <c r="F102" s="2">
        <f>MIN(-90, -89-Masks[[#This Row],[f]]/(600000000*S_ch_ds),-82-Masks[[#This Row],[f]]/(250000000*S_ch_ds))-K_ch_UPSD_ds</f>
        <v>-96.009400086720376</v>
      </c>
      <c r="G102">
        <f>-MAX(MIN(20,20-10*LOG10(2*Masks[[#This Row],[f]]/480000000)),12-3)</f>
        <v>-9</v>
      </c>
      <c r="H102">
        <f>-MAX(MIN(20,20-10*LOG10(2*Masks[[#This Row],[f]]/480000000)),12-3)</f>
        <v>-9</v>
      </c>
      <c r="I102">
        <f>10*LOG10(POWER(10,Tx_power_us/10)/F_Nyquist_us)+IF(Masks[[#This Row],[f]]&gt;F_Nyquist_us,-50)</f>
        <v>-98.470325397914564</v>
      </c>
      <c r="J102" s="3">
        <f>10*LOG10(POWER(10,Tx_power_ds/10)/F_Nyquist_ds)+IF(Masks[[#This Row],[f]]&gt;F_Nyquist_ds,-50)</f>
        <v>-98.470325397914564</v>
      </c>
      <c r="K102" s="1">
        <f>20*LOG10(ABS(SIN(PI()*Masks[[#This Row],[f]]/Config!$B$41/2000000000)/(PI()*Masks[[#This Row],[f]]/Config!$B$41/2000000000)))+Tx_power_us-10*LOG10(F_Nyquist_us)+1.11</f>
        <v>-98.907724905898633</v>
      </c>
      <c r="L102" s="1">
        <f>20*LOG10(ABS(SIN(PI()*Masks[[#This Row],[f]]/Config!$B$41/2000000000)/(PI()*Masks[[#This Row],[f]]/Config!$B$41/2000000000)))+Tx_power_ds-10*LOG10(F_Nyquist_ds)+1.11</f>
        <v>-98.907724905898633</v>
      </c>
      <c r="M102" s="1">
        <f>10*LOG10(1/(1+(Masks[[#This Row],[f]]/Config!$B$41/1000000000)^6))+Tx_power_us-10*LOG10(F_Nyquist_us)+0.45</f>
        <v>-98.326108538283336</v>
      </c>
      <c r="N102" s="1">
        <f>10*LOG10(1/(1+(Masks[[#This Row],[f]]/Config!$C$41/1000000000)^6))+Tx_power_ds-10*LOG10(F_Nyquist_ds)+0.45</f>
        <v>-98.326108538283336</v>
      </c>
      <c r="O102" s="3">
        <f>IF(Masks[[#This Row],[f]]&gt;F_Nyquist_us,0,1)</f>
        <v>1</v>
      </c>
      <c r="P102" s="3">
        <f>IF(Masks[[#This Row],[f]]&gt;F_Nyquist_ds,0,1)</f>
        <v>1</v>
      </c>
      <c r="Q102" s="2">
        <f>Config!B$40</f>
        <v>-41.640813746660612</v>
      </c>
      <c r="R102" s="3">
        <f>IF(Config!B$8&gt;0,10*LOG10($X$1*Masks[[#This Row],[f]]+Config!B$8*0.00073),-1000)</f>
        <v>-10.959068664603269</v>
      </c>
      <c r="S102" s="3">
        <f>10*LOG10((10^(Masks[[#This Row],[wire_echo]]/10))+(10^(Masks[[#This Row],[connector_echo]]/10)))</f>
        <v>-10.95535823438405</v>
      </c>
      <c r="T102" s="54"/>
      <c r="U102" s="54"/>
    </row>
    <row r="103" spans="1:21" x14ac:dyDescent="0.25">
      <c r="A103" s="2">
        <v>-98.939714929294425</v>
      </c>
      <c r="B103" s="2">
        <v>-98.939714929294425</v>
      </c>
      <c r="D103">
        <f>Calculate[[#This Row],[Freq]]</f>
        <v>4590000000</v>
      </c>
      <c r="E103" s="2">
        <f>MIN(-90, -89-Masks[[#This Row],[f]]/(600000000*S_ch_us),-82-Masks[[#This Row],[f]]/(250000000*S_ch_us))-K_ch_UPSD_us</f>
        <v>-96.039400086720377</v>
      </c>
      <c r="F103" s="2">
        <f>MIN(-90, -89-Masks[[#This Row],[f]]/(600000000*S_ch_ds),-82-Masks[[#This Row],[f]]/(250000000*S_ch_ds))-K_ch_UPSD_ds</f>
        <v>-96.039400086720377</v>
      </c>
      <c r="G103">
        <f>-MAX(MIN(20,20-10*LOG10(2*Masks[[#This Row],[f]]/480000000)),12-3)</f>
        <v>-9</v>
      </c>
      <c r="H103">
        <f>-MAX(MIN(20,20-10*LOG10(2*Masks[[#This Row],[f]]/480000000)),12-3)</f>
        <v>-9</v>
      </c>
      <c r="I103">
        <f>10*LOG10(POWER(10,Tx_power_us/10)/F_Nyquist_us)+IF(Masks[[#This Row],[f]]&gt;F_Nyquist_us,-50)</f>
        <v>-98.470325397914564</v>
      </c>
      <c r="J103" s="3">
        <f>10*LOG10(POWER(10,Tx_power_ds/10)/F_Nyquist_ds)+IF(Masks[[#This Row],[f]]&gt;F_Nyquist_ds,-50)</f>
        <v>-98.470325397914564</v>
      </c>
      <c r="K103" s="1">
        <f>20*LOG10(ABS(SIN(PI()*Masks[[#This Row],[f]]/Config!$B$41/2000000000)/(PI()*Masks[[#This Row],[f]]/Config!$B$41/2000000000)))+Tx_power_us-10*LOG10(F_Nyquist_us)+1.11</f>
        <v>-98.939714929294425</v>
      </c>
      <c r="L103" s="1">
        <f>20*LOG10(ABS(SIN(PI()*Masks[[#This Row],[f]]/Config!$B$41/2000000000)/(PI()*Masks[[#This Row],[f]]/Config!$B$41/2000000000)))+Tx_power_ds-10*LOG10(F_Nyquist_ds)+1.11</f>
        <v>-98.939714929294425</v>
      </c>
      <c r="M103" s="1">
        <f>10*LOG10(1/(1+(Masks[[#This Row],[f]]/Config!$B$41/1000000000)^6))+Tx_power_us-10*LOG10(F_Nyquist_us)+0.45</f>
        <v>-98.344051947085489</v>
      </c>
      <c r="N103" s="1">
        <f>10*LOG10(1/(1+(Masks[[#This Row],[f]]/Config!$C$41/1000000000)^6))+Tx_power_ds-10*LOG10(F_Nyquist_ds)+0.45</f>
        <v>-98.344051947085489</v>
      </c>
      <c r="O103" s="3">
        <f>IF(Masks[[#This Row],[f]]&gt;F_Nyquist_us,0,1)</f>
        <v>1</v>
      </c>
      <c r="P103" s="3">
        <f>IF(Masks[[#This Row],[f]]&gt;F_Nyquist_ds,0,1)</f>
        <v>1</v>
      </c>
      <c r="Q103" s="2">
        <f>Config!B$40</f>
        <v>-41.640813746660612</v>
      </c>
      <c r="R103" s="3">
        <f>IF(Config!B$8&gt;0,10*LOG10($X$1*Masks[[#This Row],[f]]+Config!B$8*0.00073),-1000)</f>
        <v>-10.917831469106074</v>
      </c>
      <c r="S103" s="3">
        <f>10*LOG10((10^(Masks[[#This Row],[wire_echo]]/10))+(10^(Masks[[#This Row],[connector_echo]]/10)))</f>
        <v>-10.914156088650577</v>
      </c>
      <c r="T103" s="54"/>
      <c r="U103" s="54"/>
    </row>
    <row r="104" spans="1:21" x14ac:dyDescent="0.25">
      <c r="A104" s="2">
        <v>-98.972071121950165</v>
      </c>
      <c r="B104" s="2">
        <v>-98.972071121950165</v>
      </c>
      <c r="D104">
        <f>Calculate[[#This Row],[Freq]]</f>
        <v>4635000000</v>
      </c>
      <c r="E104" s="2">
        <f>MIN(-90, -89-Masks[[#This Row],[f]]/(600000000*S_ch_us),-82-Masks[[#This Row],[f]]/(250000000*S_ch_us))-K_ch_UPSD_us</f>
        <v>-96.069400086720378</v>
      </c>
      <c r="F104" s="2">
        <f>MIN(-90, -89-Masks[[#This Row],[f]]/(600000000*S_ch_ds),-82-Masks[[#This Row],[f]]/(250000000*S_ch_ds))-K_ch_UPSD_ds</f>
        <v>-96.069400086720378</v>
      </c>
      <c r="G104">
        <f>-MAX(MIN(20,20-10*LOG10(2*Masks[[#This Row],[f]]/480000000)),12-3)</f>
        <v>-9</v>
      </c>
      <c r="H104">
        <f>-MAX(MIN(20,20-10*LOG10(2*Masks[[#This Row],[f]]/480000000)),12-3)</f>
        <v>-9</v>
      </c>
      <c r="I104">
        <f>10*LOG10(POWER(10,Tx_power_us/10)/F_Nyquist_us)+IF(Masks[[#This Row],[f]]&gt;F_Nyquist_us,-50)</f>
        <v>-98.470325397914564</v>
      </c>
      <c r="J104" s="3">
        <f>10*LOG10(POWER(10,Tx_power_ds/10)/F_Nyquist_ds)+IF(Masks[[#This Row],[f]]&gt;F_Nyquist_ds,-50)</f>
        <v>-98.470325397914564</v>
      </c>
      <c r="K104" s="1">
        <f>20*LOG10(ABS(SIN(PI()*Masks[[#This Row],[f]]/Config!$B$41/2000000000)/(PI()*Masks[[#This Row],[f]]/Config!$B$41/2000000000)))+Tx_power_us-10*LOG10(F_Nyquist_us)+1.11</f>
        <v>-98.972071121950165</v>
      </c>
      <c r="L104" s="1">
        <f>20*LOG10(ABS(SIN(PI()*Masks[[#This Row],[f]]/Config!$B$41/2000000000)/(PI()*Masks[[#This Row],[f]]/Config!$B$41/2000000000)))+Tx_power_ds-10*LOG10(F_Nyquist_ds)+1.11</f>
        <v>-98.972071121950165</v>
      </c>
      <c r="M104" s="1">
        <f>10*LOG10(1/(1+(Masks[[#This Row],[f]]/Config!$B$41/1000000000)^6))+Tx_power_us-10*LOG10(F_Nyquist_us)+0.45</f>
        <v>-98.362817350956433</v>
      </c>
      <c r="N104" s="1">
        <f>10*LOG10(1/(1+(Masks[[#This Row],[f]]/Config!$C$41/1000000000)^6))+Tx_power_ds-10*LOG10(F_Nyquist_ds)+0.45</f>
        <v>-98.362817350956433</v>
      </c>
      <c r="O104" s="3">
        <f>IF(Masks[[#This Row],[f]]&gt;F_Nyquist_us,0,1)</f>
        <v>1</v>
      </c>
      <c r="P104" s="3">
        <f>IF(Masks[[#This Row],[f]]&gt;F_Nyquist_ds,0,1)</f>
        <v>1</v>
      </c>
      <c r="Q104" s="2">
        <f>Config!B$40</f>
        <v>-41.640813746660612</v>
      </c>
      <c r="R104" s="3">
        <f>IF(Config!B$8&gt;0,10*LOG10($X$1*Masks[[#This Row],[f]]+Config!B$8*0.00073),-1000)</f>
        <v>-10.876982149573884</v>
      </c>
      <c r="S104" s="3">
        <f>10*LOG10((10^(Masks[[#This Row],[wire_echo]]/10))+(10^(Masks[[#This Row],[connector_echo]]/10)))</f>
        <v>-10.873341162898885</v>
      </c>
      <c r="T104" s="54"/>
      <c r="U104" s="54"/>
    </row>
    <row r="105" spans="1:21" x14ac:dyDescent="0.25">
      <c r="A105" s="2">
        <v>-99.004795216253555</v>
      </c>
      <c r="B105" s="2">
        <v>-99.004795216253555</v>
      </c>
      <c r="D105">
        <f>Calculate[[#This Row],[Freq]]</f>
        <v>4680000000</v>
      </c>
      <c r="E105" s="2">
        <f>MIN(-90, -89-Masks[[#This Row],[f]]/(600000000*S_ch_us),-82-Masks[[#This Row],[f]]/(250000000*S_ch_us))-K_ch_UPSD_us</f>
        <v>-96.099400086720379</v>
      </c>
      <c r="F105" s="2">
        <f>MIN(-90, -89-Masks[[#This Row],[f]]/(600000000*S_ch_ds),-82-Masks[[#This Row],[f]]/(250000000*S_ch_ds))-K_ch_UPSD_ds</f>
        <v>-96.099400086720379</v>
      </c>
      <c r="G105">
        <f>-MAX(MIN(20,20-10*LOG10(2*Masks[[#This Row],[f]]/480000000)),12-3)</f>
        <v>-9</v>
      </c>
      <c r="H105">
        <f>-MAX(MIN(20,20-10*LOG10(2*Masks[[#This Row],[f]]/480000000)),12-3)</f>
        <v>-9</v>
      </c>
      <c r="I105">
        <f>10*LOG10(POWER(10,Tx_power_us/10)/F_Nyquist_us)+IF(Masks[[#This Row],[f]]&gt;F_Nyquist_us,-50)</f>
        <v>-98.470325397914564</v>
      </c>
      <c r="J105" s="3">
        <f>10*LOG10(POWER(10,Tx_power_ds/10)/F_Nyquist_ds)+IF(Masks[[#This Row],[f]]&gt;F_Nyquist_ds,-50)</f>
        <v>-98.470325397914564</v>
      </c>
      <c r="K105" s="1">
        <f>20*LOG10(ABS(SIN(PI()*Masks[[#This Row],[f]]/Config!$B$41/2000000000)/(PI()*Masks[[#This Row],[f]]/Config!$B$41/2000000000)))+Tx_power_us-10*LOG10(F_Nyquist_us)+1.11</f>
        <v>-99.004795216253555</v>
      </c>
      <c r="L105" s="1">
        <f>20*LOG10(ABS(SIN(PI()*Masks[[#This Row],[f]]/Config!$B$41/2000000000)/(PI()*Masks[[#This Row],[f]]/Config!$B$41/2000000000)))+Tx_power_ds-10*LOG10(F_Nyquist_ds)+1.11</f>
        <v>-99.004795216253555</v>
      </c>
      <c r="M105" s="1">
        <f>10*LOG10(1/(1+(Masks[[#This Row],[f]]/Config!$B$41/1000000000)^6))+Tx_power_us-10*LOG10(F_Nyquist_us)+0.45</f>
        <v>-98.382429300919313</v>
      </c>
      <c r="N105" s="1">
        <f>10*LOG10(1/(1+(Masks[[#This Row],[f]]/Config!$C$41/1000000000)^6))+Tx_power_ds-10*LOG10(F_Nyquist_ds)+0.45</f>
        <v>-98.382429300919313</v>
      </c>
      <c r="O105" s="3">
        <f>IF(Masks[[#This Row],[f]]&gt;F_Nyquist_us,0,1)</f>
        <v>1</v>
      </c>
      <c r="P105" s="3">
        <f>IF(Masks[[#This Row],[f]]&gt;F_Nyquist_ds,0,1)</f>
        <v>1</v>
      </c>
      <c r="Q105" s="2">
        <f>Config!B$40</f>
        <v>-41.640813746660612</v>
      </c>
      <c r="R105" s="3">
        <f>IF(Config!B$8&gt;0,10*LOG10($X$1*Masks[[#This Row],[f]]+Config!B$8*0.00073),-1000)</f>
        <v>-10.836513477245401</v>
      </c>
      <c r="S105" s="3">
        <f>10*LOG10((10^(Masks[[#This Row],[wire_echo]]/10))+(10^(Masks[[#This Row],[connector_echo]]/10)))</f>
        <v>-10.832906246612794</v>
      </c>
      <c r="T105" s="54"/>
      <c r="U105" s="54"/>
    </row>
    <row r="106" spans="1:21" x14ac:dyDescent="0.25">
      <c r="A106" s="2">
        <v>-99.037888974522176</v>
      </c>
      <c r="B106" s="2">
        <v>-99.037888974522176</v>
      </c>
      <c r="D106">
        <f>Calculate[[#This Row],[Freq]]</f>
        <v>4725000000</v>
      </c>
      <c r="E106" s="2">
        <f>MIN(-90, -89-Masks[[#This Row],[f]]/(600000000*S_ch_us),-82-Masks[[#This Row],[f]]/(250000000*S_ch_us))-K_ch_UPSD_us</f>
        <v>-96.129400086720381</v>
      </c>
      <c r="F106" s="2">
        <f>MIN(-90, -89-Masks[[#This Row],[f]]/(600000000*S_ch_ds),-82-Masks[[#This Row],[f]]/(250000000*S_ch_ds))-K_ch_UPSD_ds</f>
        <v>-96.129400086720381</v>
      </c>
      <c r="G106">
        <f>-MAX(MIN(20,20-10*LOG10(2*Masks[[#This Row],[f]]/480000000)),12-3)</f>
        <v>-9</v>
      </c>
      <c r="H106">
        <f>-MAX(MIN(20,20-10*LOG10(2*Masks[[#This Row],[f]]/480000000)),12-3)</f>
        <v>-9</v>
      </c>
      <c r="I106">
        <f>10*LOG10(POWER(10,Tx_power_us/10)/F_Nyquist_us)+IF(Masks[[#This Row],[f]]&gt;F_Nyquist_us,-50)</f>
        <v>-98.470325397914564</v>
      </c>
      <c r="J106" s="3">
        <f>10*LOG10(POWER(10,Tx_power_ds/10)/F_Nyquist_ds)+IF(Masks[[#This Row],[f]]&gt;F_Nyquist_ds,-50)</f>
        <v>-98.470325397914564</v>
      </c>
      <c r="K106" s="1">
        <f>20*LOG10(ABS(SIN(PI()*Masks[[#This Row],[f]]/Config!$B$41/2000000000)/(PI()*Masks[[#This Row],[f]]/Config!$B$41/2000000000)))+Tx_power_us-10*LOG10(F_Nyquist_us)+1.11</f>
        <v>-99.037888974522176</v>
      </c>
      <c r="L106" s="1">
        <f>20*LOG10(ABS(SIN(PI()*Masks[[#This Row],[f]]/Config!$B$41/2000000000)/(PI()*Masks[[#This Row],[f]]/Config!$B$41/2000000000)))+Tx_power_ds-10*LOG10(F_Nyquist_ds)+1.11</f>
        <v>-99.037888974522176</v>
      </c>
      <c r="M106" s="1">
        <f>10*LOG10(1/(1+(Masks[[#This Row],[f]]/Config!$B$41/1000000000)^6))+Tx_power_us-10*LOG10(F_Nyquist_us)+0.45</f>
        <v>-98.402912371043797</v>
      </c>
      <c r="N106" s="1">
        <f>10*LOG10(1/(1+(Masks[[#This Row],[f]]/Config!$C$41/1000000000)^6))+Tx_power_ds-10*LOG10(F_Nyquist_ds)+0.45</f>
        <v>-98.402912371043797</v>
      </c>
      <c r="O106" s="3">
        <f>IF(Masks[[#This Row],[f]]&gt;F_Nyquist_us,0,1)</f>
        <v>1</v>
      </c>
      <c r="P106" s="3">
        <f>IF(Masks[[#This Row],[f]]&gt;F_Nyquist_ds,0,1)</f>
        <v>1</v>
      </c>
      <c r="Q106" s="2">
        <f>Config!B$40</f>
        <v>-41.640813746660612</v>
      </c>
      <c r="R106" s="3">
        <f>IF(Config!B$8&gt;0,10*LOG10($X$1*Masks[[#This Row],[f]]+Config!B$8*0.00073),-1000)</f>
        <v>-10.796418423576366</v>
      </c>
      <c r="S106" s="3">
        <f>10*LOG10((10^(Masks[[#This Row],[wire_echo]]/10))+(10^(Masks[[#This Row],[connector_echo]]/10)))</f>
        <v>-10.792844328822754</v>
      </c>
      <c r="T106" s="54"/>
      <c r="U106" s="54"/>
    </row>
    <row r="107" spans="1:21" x14ac:dyDescent="0.25">
      <c r="A107" s="2">
        <v>-99.071354189514295</v>
      </c>
      <c r="B107" s="2">
        <v>-99.071354189514295</v>
      </c>
      <c r="D107">
        <f>Calculate[[#This Row],[Freq]]</f>
        <v>4770000000</v>
      </c>
      <c r="E107" s="2">
        <f>MIN(-90, -89-Masks[[#This Row],[f]]/(600000000*S_ch_us),-82-Masks[[#This Row],[f]]/(250000000*S_ch_us))-K_ch_UPSD_us</f>
        <v>-96.159400086720382</v>
      </c>
      <c r="F107" s="2">
        <f>MIN(-90, -89-Masks[[#This Row],[f]]/(600000000*S_ch_ds),-82-Masks[[#This Row],[f]]/(250000000*S_ch_ds))-K_ch_UPSD_ds</f>
        <v>-96.159400086720382</v>
      </c>
      <c r="G107">
        <f>-MAX(MIN(20,20-10*LOG10(2*Masks[[#This Row],[f]]/480000000)),12-3)</f>
        <v>-9</v>
      </c>
      <c r="H107">
        <f>-MAX(MIN(20,20-10*LOG10(2*Masks[[#This Row],[f]]/480000000)),12-3)</f>
        <v>-9</v>
      </c>
      <c r="I107">
        <f>10*LOG10(POWER(10,Tx_power_us/10)/F_Nyquist_us)+IF(Masks[[#This Row],[f]]&gt;F_Nyquist_us,-50)</f>
        <v>-98.470325397914564</v>
      </c>
      <c r="J107" s="3">
        <f>10*LOG10(POWER(10,Tx_power_ds/10)/F_Nyquist_ds)+IF(Masks[[#This Row],[f]]&gt;F_Nyquist_ds,-50)</f>
        <v>-98.470325397914564</v>
      </c>
      <c r="K107" s="1">
        <f>20*LOG10(ABS(SIN(PI()*Masks[[#This Row],[f]]/Config!$B$41/2000000000)/(PI()*Masks[[#This Row],[f]]/Config!$B$41/2000000000)))+Tx_power_us-10*LOG10(F_Nyquist_us)+1.11</f>
        <v>-99.071354189514295</v>
      </c>
      <c r="L107" s="1">
        <f>20*LOG10(ABS(SIN(PI()*Masks[[#This Row],[f]]/Config!$B$41/2000000000)/(PI()*Masks[[#This Row],[f]]/Config!$B$41/2000000000)))+Tx_power_ds-10*LOG10(F_Nyquist_ds)+1.11</f>
        <v>-99.071354189514295</v>
      </c>
      <c r="M107" s="1">
        <f>10*LOG10(1/(1+(Masks[[#This Row],[f]]/Config!$B$41/1000000000)^6))+Tx_power_us-10*LOG10(F_Nyquist_us)+0.45</f>
        <v>-98.424291113029355</v>
      </c>
      <c r="N107" s="1">
        <f>10*LOG10(1/(1+(Masks[[#This Row],[f]]/Config!$C$41/1000000000)^6))+Tx_power_ds-10*LOG10(F_Nyquist_ds)+0.45</f>
        <v>-98.424291113029355</v>
      </c>
      <c r="O107" s="3">
        <f>IF(Masks[[#This Row],[f]]&gt;F_Nyquist_us,0,1)</f>
        <v>1</v>
      </c>
      <c r="P107" s="3">
        <f>IF(Masks[[#This Row],[f]]&gt;F_Nyquist_ds,0,1)</f>
        <v>1</v>
      </c>
      <c r="Q107" s="2">
        <f>Config!B$40</f>
        <v>-41.640813746660612</v>
      </c>
      <c r="R107" s="3">
        <f>IF(Config!B$8&gt;0,10*LOG10($X$1*Masks[[#This Row],[f]]+Config!B$8*0.00073),-1000)</f>
        <v>-10.756690152913215</v>
      </c>
      <c r="S107" s="3">
        <f>10*LOG10((10^(Masks[[#This Row],[wire_echo]]/10))+(10^(Masks[[#This Row],[connector_echo]]/10)))</f>
        <v>-10.753148590810031</v>
      </c>
      <c r="T107" s="54"/>
      <c r="U107" s="54"/>
    </row>
    <row r="108" spans="1:21" x14ac:dyDescent="0.25">
      <c r="A108" s="2">
        <v>-99.10519268495284</v>
      </c>
      <c r="B108" s="2">
        <v>-99.10519268495284</v>
      </c>
      <c r="D108">
        <f>Calculate[[#This Row],[Freq]]</f>
        <v>4815000000</v>
      </c>
      <c r="E108" s="2">
        <f>MIN(-90, -89-Masks[[#This Row],[f]]/(600000000*S_ch_us),-82-Masks[[#This Row],[f]]/(250000000*S_ch_us))-K_ch_UPSD_us</f>
        <v>-96.189400086720369</v>
      </c>
      <c r="F108" s="2">
        <f>MIN(-90, -89-Masks[[#This Row],[f]]/(600000000*S_ch_ds),-82-Masks[[#This Row],[f]]/(250000000*S_ch_ds))-K_ch_UPSD_ds</f>
        <v>-96.189400086720369</v>
      </c>
      <c r="G108">
        <f>-MAX(MIN(20,20-10*LOG10(2*Masks[[#This Row],[f]]/480000000)),12-3)</f>
        <v>-9</v>
      </c>
      <c r="H108">
        <f>-MAX(MIN(20,20-10*LOG10(2*Masks[[#This Row],[f]]/480000000)),12-3)</f>
        <v>-9</v>
      </c>
      <c r="I108">
        <f>10*LOG10(POWER(10,Tx_power_us/10)/F_Nyquist_us)+IF(Masks[[#This Row],[f]]&gt;F_Nyquist_us,-50)</f>
        <v>-98.470325397914564</v>
      </c>
      <c r="J108" s="3">
        <f>10*LOG10(POWER(10,Tx_power_ds/10)/F_Nyquist_ds)+IF(Masks[[#This Row],[f]]&gt;F_Nyquist_ds,-50)</f>
        <v>-98.470325397914564</v>
      </c>
      <c r="K108" s="1">
        <f>20*LOG10(ABS(SIN(PI()*Masks[[#This Row],[f]]/Config!$B$41/2000000000)/(PI()*Masks[[#This Row],[f]]/Config!$B$41/2000000000)))+Tx_power_us-10*LOG10(F_Nyquist_us)+1.11</f>
        <v>-99.10519268495284</v>
      </c>
      <c r="L108" s="1">
        <f>20*LOG10(ABS(SIN(PI()*Masks[[#This Row],[f]]/Config!$B$41/2000000000)/(PI()*Masks[[#This Row],[f]]/Config!$B$41/2000000000)))+Tx_power_ds-10*LOG10(F_Nyquist_ds)+1.11</f>
        <v>-99.10519268495284</v>
      </c>
      <c r="M108" s="1">
        <f>10*LOG10(1/(1+(Masks[[#This Row],[f]]/Config!$B$41/1000000000)^6))+Tx_power_us-10*LOG10(F_Nyquist_us)+0.45</f>
        <v>-98.446590008846343</v>
      </c>
      <c r="N108" s="1">
        <f>10*LOG10(1/(1+(Masks[[#This Row],[f]]/Config!$C$41/1000000000)^6))+Tx_power_ds-10*LOG10(F_Nyquist_ds)+0.45</f>
        <v>-98.446590008846343</v>
      </c>
      <c r="O108" s="3">
        <f>IF(Masks[[#This Row],[f]]&gt;F_Nyquist_us,0,1)</f>
        <v>1</v>
      </c>
      <c r="P108" s="3">
        <f>IF(Masks[[#This Row],[f]]&gt;F_Nyquist_ds,0,1)</f>
        <v>1</v>
      </c>
      <c r="Q108" s="2">
        <f>Config!B$40</f>
        <v>-41.640813746660612</v>
      </c>
      <c r="R108" s="3">
        <f>IF(Config!B$8&gt;0,10*LOG10($X$1*Masks[[#This Row],[f]]+Config!B$8*0.00073),-1000)</f>
        <v>-10.717322015498761</v>
      </c>
      <c r="S108" s="3">
        <f>10*LOG10((10^(Masks[[#This Row],[wire_echo]]/10))+(10^(Masks[[#This Row],[connector_echo]]/10)))</f>
        <v>-10.71381239914124</v>
      </c>
      <c r="T108" s="54"/>
      <c r="U108" s="54"/>
    </row>
    <row r="109" spans="1:21" x14ac:dyDescent="0.25">
      <c r="A109" s="2">
        <v>-99.139406316062534</v>
      </c>
      <c r="B109" s="2">
        <v>-99.139406316062534</v>
      </c>
      <c r="D109">
        <f>Calculate[[#This Row],[Freq]]</f>
        <v>4860000000</v>
      </c>
      <c r="E109" s="2">
        <f>MIN(-90, -89-Masks[[#This Row],[f]]/(600000000*S_ch_us),-82-Masks[[#This Row],[f]]/(250000000*S_ch_us))-K_ch_UPSD_us</f>
        <v>-96.21940008672037</v>
      </c>
      <c r="F109" s="2">
        <f>MIN(-90, -89-Masks[[#This Row],[f]]/(600000000*S_ch_ds),-82-Masks[[#This Row],[f]]/(250000000*S_ch_ds))-K_ch_UPSD_ds</f>
        <v>-96.21940008672037</v>
      </c>
      <c r="G109">
        <f>-MAX(MIN(20,20-10*LOG10(2*Masks[[#This Row],[f]]/480000000)),12-3)</f>
        <v>-9</v>
      </c>
      <c r="H109">
        <f>-MAX(MIN(20,20-10*LOG10(2*Masks[[#This Row],[f]]/480000000)),12-3)</f>
        <v>-9</v>
      </c>
      <c r="I109">
        <f>10*LOG10(POWER(10,Tx_power_us/10)/F_Nyquist_us)+IF(Masks[[#This Row],[f]]&gt;F_Nyquist_us,-50)</f>
        <v>-98.470325397914564</v>
      </c>
      <c r="J109" s="3">
        <f>10*LOG10(POWER(10,Tx_power_ds/10)/F_Nyquist_ds)+IF(Masks[[#This Row],[f]]&gt;F_Nyquist_ds,-50)</f>
        <v>-98.470325397914564</v>
      </c>
      <c r="K109" s="1">
        <f>20*LOG10(ABS(SIN(PI()*Masks[[#This Row],[f]]/Config!$B$41/2000000000)/(PI()*Masks[[#This Row],[f]]/Config!$B$41/2000000000)))+Tx_power_us-10*LOG10(F_Nyquist_us)+1.11</f>
        <v>-99.139406316062534</v>
      </c>
      <c r="L109" s="1">
        <f>20*LOG10(ABS(SIN(PI()*Masks[[#This Row],[f]]/Config!$B$41/2000000000)/(PI()*Masks[[#This Row],[f]]/Config!$B$41/2000000000)))+Tx_power_ds-10*LOG10(F_Nyquist_ds)+1.11</f>
        <v>-99.139406316062534</v>
      </c>
      <c r="M109" s="1">
        <f>10*LOG10(1/(1+(Masks[[#This Row],[f]]/Config!$B$41/1000000000)^6))+Tx_power_us-10*LOG10(F_Nyquist_us)+0.45</f>
        <v>-98.469833421539477</v>
      </c>
      <c r="N109" s="1">
        <f>10*LOG10(1/(1+(Masks[[#This Row],[f]]/Config!$C$41/1000000000)^6))+Tx_power_ds-10*LOG10(F_Nyquist_ds)+0.45</f>
        <v>-98.469833421539477</v>
      </c>
      <c r="O109" s="3">
        <f>IF(Masks[[#This Row],[f]]&gt;F_Nyquist_us,0,1)</f>
        <v>1</v>
      </c>
      <c r="P109" s="3">
        <f>IF(Masks[[#This Row],[f]]&gt;F_Nyquist_ds,0,1)</f>
        <v>1</v>
      </c>
      <c r="Q109" s="2">
        <f>Config!B$40</f>
        <v>-41.640813746660612</v>
      </c>
      <c r="R109" s="3">
        <f>IF(Config!B$8&gt;0,10*LOG10($X$1*Masks[[#This Row],[f]]+Config!B$8*0.00073),-1000)</f>
        <v>-10.678307540792078</v>
      </c>
      <c r="S109" s="3">
        <f>10*LOG10((10^(Masks[[#This Row],[wire_echo]]/10))+(10^(Masks[[#This Row],[connector_echo]]/10)))</f>
        <v>-10.674829299015549</v>
      </c>
      <c r="T109" s="54"/>
      <c r="U109" s="54"/>
    </row>
    <row r="110" spans="1:21" x14ac:dyDescent="0.25">
      <c r="A110" s="2">
        <v>-99.173996970120768</v>
      </c>
      <c r="B110" s="2">
        <v>-99.173996970120768</v>
      </c>
      <c r="D110">
        <f>Calculate[[#This Row],[Freq]]</f>
        <v>4905000000</v>
      </c>
      <c r="E110" s="2">
        <f>MIN(-90, -89-Masks[[#This Row],[f]]/(600000000*S_ch_us),-82-Masks[[#This Row],[f]]/(250000000*S_ch_us))-K_ch_UPSD_us</f>
        <v>-96.249400086720371</v>
      </c>
      <c r="F110" s="2">
        <f>MIN(-90, -89-Masks[[#This Row],[f]]/(600000000*S_ch_ds),-82-Masks[[#This Row],[f]]/(250000000*S_ch_ds))-K_ch_UPSD_ds</f>
        <v>-96.249400086720371</v>
      </c>
      <c r="G110">
        <f>-MAX(MIN(20,20-10*LOG10(2*Masks[[#This Row],[f]]/480000000)),12-3)</f>
        <v>-9</v>
      </c>
      <c r="H110">
        <f>-MAX(MIN(20,20-10*LOG10(2*Masks[[#This Row],[f]]/480000000)),12-3)</f>
        <v>-9</v>
      </c>
      <c r="I110">
        <f>10*LOG10(POWER(10,Tx_power_us/10)/F_Nyquist_us)+IF(Masks[[#This Row],[f]]&gt;F_Nyquist_us,-50)</f>
        <v>-98.470325397914564</v>
      </c>
      <c r="J110" s="3">
        <f>10*LOG10(POWER(10,Tx_power_ds/10)/F_Nyquist_ds)+IF(Masks[[#This Row],[f]]&gt;F_Nyquist_ds,-50)</f>
        <v>-98.470325397914564</v>
      </c>
      <c r="K110" s="1">
        <f>20*LOG10(ABS(SIN(PI()*Masks[[#This Row],[f]]/Config!$B$41/2000000000)/(PI()*Masks[[#This Row],[f]]/Config!$B$41/2000000000)))+Tx_power_us-10*LOG10(F_Nyquist_us)+1.11</f>
        <v>-99.173996970120768</v>
      </c>
      <c r="L110" s="1">
        <f>20*LOG10(ABS(SIN(PI()*Masks[[#This Row],[f]]/Config!$B$41/2000000000)/(PI()*Masks[[#This Row],[f]]/Config!$B$41/2000000000)))+Tx_power_ds-10*LOG10(F_Nyquist_ds)+1.11</f>
        <v>-99.173996970120768</v>
      </c>
      <c r="M110" s="1">
        <f>10*LOG10(1/(1+(Masks[[#This Row],[f]]/Config!$B$41/1000000000)^6))+Tx_power_us-10*LOG10(F_Nyquist_us)+0.45</f>
        <v>-98.494045544315981</v>
      </c>
      <c r="N110" s="1">
        <f>10*LOG10(1/(1+(Masks[[#This Row],[f]]/Config!$C$41/1000000000)^6))+Tx_power_ds-10*LOG10(F_Nyquist_ds)+0.45</f>
        <v>-98.494045544315981</v>
      </c>
      <c r="O110" s="3">
        <f>IF(Masks[[#This Row],[f]]&gt;F_Nyquist_us,0,1)</f>
        <v>1</v>
      </c>
      <c r="P110" s="3">
        <f>IF(Masks[[#This Row],[f]]&gt;F_Nyquist_ds,0,1)</f>
        <v>1</v>
      </c>
      <c r="Q110" s="2">
        <f>Config!B$40</f>
        <v>-41.640813746660612</v>
      </c>
      <c r="R110" s="3">
        <f>IF(Config!B$8&gt;0,10*LOG10($X$1*Masks[[#This Row],[f]]+Config!B$8*0.00073),-1000)</f>
        <v>-10.639640431085773</v>
      </c>
      <c r="S110" s="3">
        <f>10*LOG10((10^(Masks[[#This Row],[wire_echo]]/10))+(10^(Masks[[#This Row],[connector_echo]]/10)))</f>
        <v>-10.636193007907799</v>
      </c>
      <c r="T110" s="54"/>
      <c r="U110" s="54"/>
    </row>
    <row r="111" spans="1:21" x14ac:dyDescent="0.25">
      <c r="A111" s="2">
        <v>-99.208966567022657</v>
      </c>
      <c r="B111" s="2">
        <v>-99.208966567022657</v>
      </c>
      <c r="D111">
        <f>Calculate[[#This Row],[Freq]]</f>
        <v>4950000000</v>
      </c>
      <c r="E111" s="2">
        <f>MIN(-90, -89-Masks[[#This Row],[f]]/(600000000*S_ch_us),-82-Masks[[#This Row],[f]]/(250000000*S_ch_us))-K_ch_UPSD_us</f>
        <v>-96.279400086720372</v>
      </c>
      <c r="F111" s="2">
        <f>MIN(-90, -89-Masks[[#This Row],[f]]/(600000000*S_ch_ds),-82-Masks[[#This Row],[f]]/(250000000*S_ch_ds))-K_ch_UPSD_ds</f>
        <v>-96.279400086720372</v>
      </c>
      <c r="G111">
        <f>-MAX(MIN(20,20-10*LOG10(2*Masks[[#This Row],[f]]/480000000)),12-3)</f>
        <v>-9</v>
      </c>
      <c r="H111">
        <f>-MAX(MIN(20,20-10*LOG10(2*Masks[[#This Row],[f]]/480000000)),12-3)</f>
        <v>-9</v>
      </c>
      <c r="I111">
        <f>10*LOG10(POWER(10,Tx_power_us/10)/F_Nyquist_us)+IF(Masks[[#This Row],[f]]&gt;F_Nyquist_us,-50)</f>
        <v>-98.470325397914564</v>
      </c>
      <c r="J111" s="3">
        <f>10*LOG10(POWER(10,Tx_power_ds/10)/F_Nyquist_ds)+IF(Masks[[#This Row],[f]]&gt;F_Nyquist_ds,-50)</f>
        <v>-98.470325397914564</v>
      </c>
      <c r="K111" s="1">
        <f>20*LOG10(ABS(SIN(PI()*Masks[[#This Row],[f]]/Config!$B$41/2000000000)/(PI()*Masks[[#This Row],[f]]/Config!$B$41/2000000000)))+Tx_power_us-10*LOG10(F_Nyquist_us)+1.11</f>
        <v>-99.208966567022657</v>
      </c>
      <c r="L111" s="1">
        <f>20*LOG10(ABS(SIN(PI()*Masks[[#This Row],[f]]/Config!$B$41/2000000000)/(PI()*Masks[[#This Row],[f]]/Config!$B$41/2000000000)))+Tx_power_ds-10*LOG10(F_Nyquist_ds)+1.11</f>
        <v>-99.208966567022657</v>
      </c>
      <c r="M111" s="1">
        <f>10*LOG10(1/(1+(Masks[[#This Row],[f]]/Config!$B$41/1000000000)^6))+Tx_power_us-10*LOG10(F_Nyquist_us)+0.45</f>
        <v>-98.519250348058478</v>
      </c>
      <c r="N111" s="1">
        <f>10*LOG10(1/(1+(Masks[[#This Row],[f]]/Config!$C$41/1000000000)^6))+Tx_power_ds-10*LOG10(F_Nyquist_ds)+0.45</f>
        <v>-98.519250348058478</v>
      </c>
      <c r="O111" s="3">
        <f>IF(Masks[[#This Row],[f]]&gt;F_Nyquist_us,0,1)</f>
        <v>1</v>
      </c>
      <c r="P111" s="3">
        <f>IF(Masks[[#This Row],[f]]&gt;F_Nyquist_ds,0,1)</f>
        <v>1</v>
      </c>
      <c r="Q111" s="2">
        <f>Config!B$40</f>
        <v>-41.640813746660612</v>
      </c>
      <c r="R111" s="3">
        <f>IF(Config!B$8&gt;0,10*LOG10($X$1*Masks[[#This Row],[f]]+Config!B$8*0.00073),-1000)</f>
        <v>-10.601314555404901</v>
      </c>
      <c r="S111" s="3">
        <f>10*LOG10((10^(Masks[[#This Row],[wire_echo]]/10))+(10^(Masks[[#This Row],[connector_echo]]/10)))</f>
        <v>-10.597897409491928</v>
      </c>
      <c r="T111" s="54"/>
      <c r="U111" s="54"/>
    </row>
    <row r="112" spans="1:21" x14ac:dyDescent="0.25">
      <c r="A112" s="2">
        <v>-99.244317059860435</v>
      </c>
      <c r="B112" s="2">
        <v>-99.244317059860435</v>
      </c>
      <c r="D112">
        <f>Calculate[[#This Row],[Freq]]</f>
        <v>4995000000</v>
      </c>
      <c r="E112" s="2">
        <f>MIN(-90, -89-Masks[[#This Row],[f]]/(600000000*S_ch_us),-82-Masks[[#This Row],[f]]/(250000000*S_ch_us))-K_ch_UPSD_us</f>
        <v>-96.309400086720373</v>
      </c>
      <c r="F112" s="2">
        <f>MIN(-90, -89-Masks[[#This Row],[f]]/(600000000*S_ch_ds),-82-Masks[[#This Row],[f]]/(250000000*S_ch_ds))-K_ch_UPSD_ds</f>
        <v>-96.309400086720373</v>
      </c>
      <c r="G112">
        <f>-MAX(MIN(20,20-10*LOG10(2*Masks[[#This Row],[f]]/480000000)),12-3)</f>
        <v>-9</v>
      </c>
      <c r="H112">
        <f>-MAX(MIN(20,20-10*LOG10(2*Masks[[#This Row],[f]]/480000000)),12-3)</f>
        <v>-9</v>
      </c>
      <c r="I112">
        <f>10*LOG10(POWER(10,Tx_power_us/10)/F_Nyquist_us)+IF(Masks[[#This Row],[f]]&gt;F_Nyquist_us,-50)</f>
        <v>-98.470325397914564</v>
      </c>
      <c r="J112" s="3">
        <f>10*LOG10(POWER(10,Tx_power_ds/10)/F_Nyquist_ds)+IF(Masks[[#This Row],[f]]&gt;F_Nyquist_ds,-50)</f>
        <v>-98.470325397914564</v>
      </c>
      <c r="K112" s="1">
        <f>20*LOG10(ABS(SIN(PI()*Masks[[#This Row],[f]]/Config!$B$41/2000000000)/(PI()*Masks[[#This Row],[f]]/Config!$B$41/2000000000)))+Tx_power_us-10*LOG10(F_Nyquist_us)+1.11</f>
        <v>-99.244317059860435</v>
      </c>
      <c r="L112" s="1">
        <f>20*LOG10(ABS(SIN(PI()*Masks[[#This Row],[f]]/Config!$B$41/2000000000)/(PI()*Masks[[#This Row],[f]]/Config!$B$41/2000000000)))+Tx_power_ds-10*LOG10(F_Nyquist_ds)+1.11</f>
        <v>-99.244317059860435</v>
      </c>
      <c r="M112" s="1">
        <f>10*LOG10(1/(1+(Masks[[#This Row],[f]]/Config!$B$41/1000000000)^6))+Tx_power_us-10*LOG10(F_Nyquist_us)+0.45</f>
        <v>-98.545471527420744</v>
      </c>
      <c r="N112" s="1">
        <f>10*LOG10(1/(1+(Masks[[#This Row],[f]]/Config!$C$41/1000000000)^6))+Tx_power_ds-10*LOG10(F_Nyquist_ds)+0.45</f>
        <v>-98.545471527420744</v>
      </c>
      <c r="O112" s="3">
        <f>IF(Masks[[#This Row],[f]]&gt;F_Nyquist_us,0,1)</f>
        <v>1</v>
      </c>
      <c r="P112" s="3">
        <f>IF(Masks[[#This Row],[f]]&gt;F_Nyquist_ds,0,1)</f>
        <v>1</v>
      </c>
      <c r="Q112" s="2">
        <f>Config!B$40</f>
        <v>-41.640813746660612</v>
      </c>
      <c r="R112" s="3">
        <f>IF(Config!B$8&gt;0,10*LOG10($X$1*Masks[[#This Row],[f]]+Config!B$8*0.00073),-1000)</f>
        <v>-10.563323943672733</v>
      </c>
      <c r="S112" s="3">
        <f>10*LOG10((10^(Masks[[#This Row],[wire_echo]]/10))+(10^(Masks[[#This Row],[connector_echo]]/10)))</f>
        <v>-10.559936547829942</v>
      </c>
      <c r="T112" s="54"/>
      <c r="U112" s="54"/>
    </row>
    <row r="113" spans="1:21" x14ac:dyDescent="0.25">
      <c r="A113" s="2">
        <v>-99.280050435518007</v>
      </c>
      <c r="B113" s="2">
        <v>-99.280050435518007</v>
      </c>
      <c r="D113">
        <f>Calculate[[#This Row],[Freq]]</f>
        <v>5040000000</v>
      </c>
      <c r="E113" s="2">
        <f>MIN(-90, -89-Masks[[#This Row],[f]]/(600000000*S_ch_us),-82-Masks[[#This Row],[f]]/(250000000*S_ch_us))-K_ch_UPSD_us</f>
        <v>-96.339400086720374</v>
      </c>
      <c r="F113" s="2">
        <f>MIN(-90, -89-Masks[[#This Row],[f]]/(600000000*S_ch_ds),-82-Masks[[#This Row],[f]]/(250000000*S_ch_ds))-K_ch_UPSD_ds</f>
        <v>-96.339400086720374</v>
      </c>
      <c r="G113">
        <f>-MAX(MIN(20,20-10*LOG10(2*Masks[[#This Row],[f]]/480000000)),12-3)</f>
        <v>-9</v>
      </c>
      <c r="H113">
        <f>-MAX(MIN(20,20-10*LOG10(2*Masks[[#This Row],[f]]/480000000)),12-3)</f>
        <v>-9</v>
      </c>
      <c r="I113">
        <f>10*LOG10(POWER(10,Tx_power_us/10)/F_Nyquist_us)+IF(Masks[[#This Row],[f]]&gt;F_Nyquist_us,-50)</f>
        <v>-98.470325397914564</v>
      </c>
      <c r="J113" s="3">
        <f>10*LOG10(POWER(10,Tx_power_ds/10)/F_Nyquist_ds)+IF(Masks[[#This Row],[f]]&gt;F_Nyquist_ds,-50)</f>
        <v>-98.470325397914564</v>
      </c>
      <c r="K113" s="1">
        <f>20*LOG10(ABS(SIN(PI()*Masks[[#This Row],[f]]/Config!$B$41/2000000000)/(PI()*Masks[[#This Row],[f]]/Config!$B$41/2000000000)))+Tx_power_us-10*LOG10(F_Nyquist_us)+1.11</f>
        <v>-99.280050435518007</v>
      </c>
      <c r="L113" s="1">
        <f>20*LOG10(ABS(SIN(PI()*Masks[[#This Row],[f]]/Config!$B$41/2000000000)/(PI()*Masks[[#This Row],[f]]/Config!$B$41/2000000000)))+Tx_power_ds-10*LOG10(F_Nyquist_ds)+1.11</f>
        <v>-99.280050435518007</v>
      </c>
      <c r="M113" s="1">
        <f>10*LOG10(1/(1+(Masks[[#This Row],[f]]/Config!$B$41/1000000000)^6))+Tx_power_us-10*LOG10(F_Nyquist_us)+0.45</f>
        <v>-98.572732445682348</v>
      </c>
      <c r="N113" s="1">
        <f>10*LOG10(1/(1+(Masks[[#This Row],[f]]/Config!$C$41/1000000000)^6))+Tx_power_ds-10*LOG10(F_Nyquist_ds)+0.45</f>
        <v>-98.572732445682348</v>
      </c>
      <c r="O113" s="3">
        <f>IF(Masks[[#This Row],[f]]&gt;F_Nyquist_us,0,1)</f>
        <v>1</v>
      </c>
      <c r="P113" s="3">
        <f>IF(Masks[[#This Row],[f]]&gt;F_Nyquist_ds,0,1)</f>
        <v>1</v>
      </c>
      <c r="Q113" s="2">
        <f>Config!B$40</f>
        <v>-41.640813746660612</v>
      </c>
      <c r="R113" s="3">
        <f>IF(Config!B$8&gt;0,10*LOG10($X$1*Masks[[#This Row],[f]]+Config!B$8*0.00073),-1000)</f>
        <v>-10.525662781129492</v>
      </c>
      <c r="S113" s="3">
        <f>10*LOG10((10^(Masks[[#This Row],[wire_echo]]/10))+(10^(Masks[[#This Row],[connector_echo]]/10)))</f>
        <v>-10.522304621812683</v>
      </c>
      <c r="T113" s="54"/>
      <c r="U113" s="54"/>
    </row>
    <row r="114" spans="1:21" x14ac:dyDescent="0.25">
      <c r="A114" s="2">
        <v>-99.316168715280682</v>
      </c>
      <c r="B114" s="2">
        <v>-99.316168715280682</v>
      </c>
      <c r="D114">
        <f>Calculate[[#This Row],[Freq]]</f>
        <v>5085000000</v>
      </c>
      <c r="E114" s="2">
        <f>MIN(-90, -89-Masks[[#This Row],[f]]/(600000000*S_ch_us),-82-Masks[[#This Row],[f]]/(250000000*S_ch_us))-K_ch_UPSD_us</f>
        <v>-96.369400086720375</v>
      </c>
      <c r="F114" s="2">
        <f>MIN(-90, -89-Masks[[#This Row],[f]]/(600000000*S_ch_ds),-82-Masks[[#This Row],[f]]/(250000000*S_ch_ds))-K_ch_UPSD_ds</f>
        <v>-96.369400086720375</v>
      </c>
      <c r="G114">
        <f>-MAX(MIN(20,20-10*LOG10(2*Masks[[#This Row],[f]]/480000000)),12-3)</f>
        <v>-9</v>
      </c>
      <c r="H114">
        <f>-MAX(MIN(20,20-10*LOG10(2*Masks[[#This Row],[f]]/480000000)),12-3)</f>
        <v>-9</v>
      </c>
      <c r="I114">
        <f>10*LOG10(POWER(10,Tx_power_us/10)/F_Nyquist_us)+IF(Masks[[#This Row],[f]]&gt;F_Nyquist_us,-50)</f>
        <v>-98.470325397914564</v>
      </c>
      <c r="J114" s="3">
        <f>10*LOG10(POWER(10,Tx_power_ds/10)/F_Nyquist_ds)+IF(Masks[[#This Row],[f]]&gt;F_Nyquist_ds,-50)</f>
        <v>-98.470325397914564</v>
      </c>
      <c r="K114" s="1">
        <f>20*LOG10(ABS(SIN(PI()*Masks[[#This Row],[f]]/Config!$B$41/2000000000)/(PI()*Masks[[#This Row],[f]]/Config!$B$41/2000000000)))+Tx_power_us-10*LOG10(F_Nyquist_us)+1.11</f>
        <v>-99.316168715280682</v>
      </c>
      <c r="L114" s="1">
        <f>20*LOG10(ABS(SIN(PI()*Masks[[#This Row],[f]]/Config!$B$41/2000000000)/(PI()*Masks[[#This Row],[f]]/Config!$B$41/2000000000)))+Tx_power_ds-10*LOG10(F_Nyquist_ds)+1.11</f>
        <v>-99.316168715280682</v>
      </c>
      <c r="M114" s="1">
        <f>10*LOG10(1/(1+(Masks[[#This Row],[f]]/Config!$B$41/1000000000)^6))+Tx_power_us-10*LOG10(F_Nyquist_us)+0.45</f>
        <v>-98.601056078555445</v>
      </c>
      <c r="N114" s="1">
        <f>10*LOG10(1/(1+(Masks[[#This Row],[f]]/Config!$C$41/1000000000)^6))+Tx_power_ds-10*LOG10(F_Nyquist_ds)+0.45</f>
        <v>-98.601056078555445</v>
      </c>
      <c r="O114" s="3">
        <f>IF(Masks[[#This Row],[f]]&gt;F_Nyquist_us,0,1)</f>
        <v>1</v>
      </c>
      <c r="P114" s="3">
        <f>IF(Masks[[#This Row],[f]]&gt;F_Nyquist_ds,0,1)</f>
        <v>1</v>
      </c>
      <c r="Q114" s="2">
        <f>Config!B$40</f>
        <v>-41.640813746660612</v>
      </c>
      <c r="R114" s="3">
        <f>IF(Config!B$8&gt;0,10*LOG10($X$1*Masks[[#This Row],[f]]+Config!B$8*0.00073),-1000)</f>
        <v>-10.488325402991048</v>
      </c>
      <c r="S114" s="3">
        <f>10*LOG10((10^(Masks[[#This Row],[wire_echo]]/10))+(10^(Masks[[#This Row],[connector_echo]]/10)))</f>
        <v>-10.4849959798394</v>
      </c>
      <c r="T114" s="54"/>
      <c r="U114" s="54"/>
    </row>
    <row r="115" spans="1:21" x14ac:dyDescent="0.25">
      <c r="A115" s="2">
        <v>-99.352673955460816</v>
      </c>
      <c r="B115" s="2">
        <v>-99.352673955460816</v>
      </c>
      <c r="D115">
        <f>Calculate[[#This Row],[Freq]]</f>
        <v>5130000000</v>
      </c>
      <c r="E115" s="2">
        <f>MIN(-90, -89-Masks[[#This Row],[f]]/(600000000*S_ch_us),-82-Masks[[#This Row],[f]]/(250000000*S_ch_us))-K_ch_UPSD_us</f>
        <v>-96.399400086720377</v>
      </c>
      <c r="F115" s="2">
        <f>MIN(-90, -89-Masks[[#This Row],[f]]/(600000000*S_ch_ds),-82-Masks[[#This Row],[f]]/(250000000*S_ch_ds))-K_ch_UPSD_ds</f>
        <v>-96.399400086720377</v>
      </c>
      <c r="G115">
        <f>-MAX(MIN(20,20-10*LOG10(2*Masks[[#This Row],[f]]/480000000)),12-3)</f>
        <v>-9</v>
      </c>
      <c r="H115">
        <f>-MAX(MIN(20,20-10*LOG10(2*Masks[[#This Row],[f]]/480000000)),12-3)</f>
        <v>-9</v>
      </c>
      <c r="I115">
        <f>10*LOG10(POWER(10,Tx_power_us/10)/F_Nyquist_us)+IF(Masks[[#This Row],[f]]&gt;F_Nyquist_us,-50)</f>
        <v>-98.470325397914564</v>
      </c>
      <c r="J115" s="3">
        <f>10*LOG10(POWER(10,Tx_power_ds/10)/F_Nyquist_ds)+IF(Masks[[#This Row],[f]]&gt;F_Nyquist_ds,-50)</f>
        <v>-98.470325397914564</v>
      </c>
      <c r="K115" s="1">
        <f>20*LOG10(ABS(SIN(PI()*Masks[[#This Row],[f]]/Config!$B$41/2000000000)/(PI()*Masks[[#This Row],[f]]/Config!$B$41/2000000000)))+Tx_power_us-10*LOG10(F_Nyquist_us)+1.11</f>
        <v>-99.352673955460816</v>
      </c>
      <c r="L115" s="1">
        <f>20*LOG10(ABS(SIN(PI()*Masks[[#This Row],[f]]/Config!$B$41/2000000000)/(PI()*Masks[[#This Row],[f]]/Config!$B$41/2000000000)))+Tx_power_ds-10*LOG10(F_Nyquist_ds)+1.11</f>
        <v>-99.352673955460816</v>
      </c>
      <c r="M115" s="1">
        <f>10*LOG10(1/(1+(Masks[[#This Row],[f]]/Config!$B$41/1000000000)^6))+Tx_power_us-10*LOG10(F_Nyquist_us)+0.45</f>
        <v>-98.630464957154174</v>
      </c>
      <c r="N115" s="1">
        <f>10*LOG10(1/(1+(Masks[[#This Row],[f]]/Config!$C$41/1000000000)^6))+Tx_power_ds-10*LOG10(F_Nyquist_ds)+0.45</f>
        <v>-98.630464957154174</v>
      </c>
      <c r="O115" s="3">
        <f>IF(Masks[[#This Row],[f]]&gt;F_Nyquist_us,0,1)</f>
        <v>1</v>
      </c>
      <c r="P115" s="3">
        <f>IF(Masks[[#This Row],[f]]&gt;F_Nyquist_ds,0,1)</f>
        <v>1</v>
      </c>
      <c r="Q115" s="2">
        <f>Config!B$40</f>
        <v>-41.640813746660612</v>
      </c>
      <c r="R115" s="3">
        <f>IF(Config!B$8&gt;0,10*LOG10($X$1*Masks[[#This Row],[f]]+Config!B$8*0.00073),-1000)</f>
        <v>-10.451306289335218</v>
      </c>
      <c r="S115" s="3">
        <f>10*LOG10((10^(Masks[[#This Row],[wire_echo]]/10))+(10^(Masks[[#This Row],[connector_echo]]/10)))</f>
        <v>-10.448005114723864</v>
      </c>
      <c r="T115" s="54"/>
      <c r="U115" s="54"/>
    </row>
    <row r="116" spans="1:21" x14ac:dyDescent="0.25">
      <c r="A116" s="2">
        <v>-99.389568248039708</v>
      </c>
      <c r="B116" s="2">
        <v>-99.389568248039708</v>
      </c>
      <c r="D116">
        <f>Calculate[[#This Row],[Freq]]</f>
        <v>5175000000</v>
      </c>
      <c r="E116" s="2">
        <f>MIN(-90, -89-Masks[[#This Row],[f]]/(600000000*S_ch_us),-82-Masks[[#This Row],[f]]/(250000000*S_ch_us))-K_ch_UPSD_us</f>
        <v>-96.429400086720378</v>
      </c>
      <c r="F116" s="2">
        <f>MIN(-90, -89-Masks[[#This Row],[f]]/(600000000*S_ch_ds),-82-Masks[[#This Row],[f]]/(250000000*S_ch_ds))-K_ch_UPSD_ds</f>
        <v>-96.429400086720378</v>
      </c>
      <c r="G116">
        <f>-MAX(MIN(20,20-10*LOG10(2*Masks[[#This Row],[f]]/480000000)),12-3)</f>
        <v>-9</v>
      </c>
      <c r="H116">
        <f>-MAX(MIN(20,20-10*LOG10(2*Masks[[#This Row],[f]]/480000000)),12-3)</f>
        <v>-9</v>
      </c>
      <c r="I116">
        <f>10*LOG10(POWER(10,Tx_power_us/10)/F_Nyquist_us)+IF(Masks[[#This Row],[f]]&gt;F_Nyquist_us,-50)</f>
        <v>-98.470325397914564</v>
      </c>
      <c r="J116" s="3">
        <f>10*LOG10(POWER(10,Tx_power_ds/10)/F_Nyquist_ds)+IF(Masks[[#This Row],[f]]&gt;F_Nyquist_ds,-50)</f>
        <v>-98.470325397914564</v>
      </c>
      <c r="K116" s="1">
        <f>20*LOG10(ABS(SIN(PI()*Masks[[#This Row],[f]]/Config!$B$41/2000000000)/(PI()*Masks[[#This Row],[f]]/Config!$B$41/2000000000)))+Tx_power_us-10*LOG10(F_Nyquist_us)+1.11</f>
        <v>-99.389568248039708</v>
      </c>
      <c r="L116" s="1">
        <f>20*LOG10(ABS(SIN(PI()*Masks[[#This Row],[f]]/Config!$B$41/2000000000)/(PI()*Masks[[#This Row],[f]]/Config!$B$41/2000000000)))+Tx_power_ds-10*LOG10(F_Nyquist_ds)+1.11</f>
        <v>-99.389568248039708</v>
      </c>
      <c r="M116" s="1">
        <f>10*LOG10(1/(1+(Masks[[#This Row],[f]]/Config!$B$41/1000000000)^6))+Tx_power_us-10*LOG10(F_Nyquist_us)+0.45</f>
        <v>-98.66098111035339</v>
      </c>
      <c r="N116" s="1">
        <f>10*LOG10(1/(1+(Masks[[#This Row],[f]]/Config!$C$41/1000000000)^6))+Tx_power_ds-10*LOG10(F_Nyquist_ds)+0.45</f>
        <v>-98.66098111035339</v>
      </c>
      <c r="O116" s="3">
        <f>IF(Masks[[#This Row],[f]]&gt;F_Nyquist_us,0,1)</f>
        <v>1</v>
      </c>
      <c r="P116" s="3">
        <f>IF(Masks[[#This Row],[f]]&gt;F_Nyquist_ds,0,1)</f>
        <v>1</v>
      </c>
      <c r="Q116" s="2">
        <f>Config!B$40</f>
        <v>-41.640813746660612</v>
      </c>
      <c r="R116" s="3">
        <f>IF(Config!B$8&gt;0,10*LOG10($X$1*Masks[[#This Row],[f]]+Config!B$8*0.00073),-1000)</f>
        <v>-10.414600060204215</v>
      </c>
      <c r="S116" s="3">
        <f>10*LOG10((10^(Masks[[#This Row],[wire_echo]]/10))+(10^(Masks[[#This Row],[connector_echo]]/10)))</f>
        <v>-10.41132665881565</v>
      </c>
      <c r="T116" s="54"/>
      <c r="U116" s="54"/>
    </row>
    <row r="117" spans="1:21" x14ac:dyDescent="0.25">
      <c r="A117" s="2">
        <v>-99.426853721326381</v>
      </c>
      <c r="B117" s="2">
        <v>-99.426853721326381</v>
      </c>
      <c r="D117">
        <f>Calculate[[#This Row],[Freq]]</f>
        <v>5220000000</v>
      </c>
      <c r="E117" s="2">
        <f>MIN(-90, -89-Masks[[#This Row],[f]]/(600000000*S_ch_us),-82-Masks[[#This Row],[f]]/(250000000*S_ch_us))-K_ch_UPSD_us</f>
        <v>-96.459400086720379</v>
      </c>
      <c r="F117" s="2">
        <f>MIN(-90, -89-Masks[[#This Row],[f]]/(600000000*S_ch_ds),-82-Masks[[#This Row],[f]]/(250000000*S_ch_ds))-K_ch_UPSD_ds</f>
        <v>-96.459400086720379</v>
      </c>
      <c r="G117">
        <f>-MAX(MIN(20,20-10*LOG10(2*Masks[[#This Row],[f]]/480000000)),12-3)</f>
        <v>-9</v>
      </c>
      <c r="H117">
        <f>-MAX(MIN(20,20-10*LOG10(2*Masks[[#This Row],[f]]/480000000)),12-3)</f>
        <v>-9</v>
      </c>
      <c r="I117">
        <f>10*LOG10(POWER(10,Tx_power_us/10)/F_Nyquist_us)+IF(Masks[[#This Row],[f]]&gt;F_Nyquist_us,-50)</f>
        <v>-98.470325397914564</v>
      </c>
      <c r="J117" s="3">
        <f>10*LOG10(POWER(10,Tx_power_ds/10)/F_Nyquist_ds)+IF(Masks[[#This Row],[f]]&gt;F_Nyquist_ds,-50)</f>
        <v>-98.470325397914564</v>
      </c>
      <c r="K117" s="1">
        <f>20*LOG10(ABS(SIN(PI()*Masks[[#This Row],[f]]/Config!$B$41/2000000000)/(PI()*Masks[[#This Row],[f]]/Config!$B$41/2000000000)))+Tx_power_us-10*LOG10(F_Nyquist_us)+1.11</f>
        <v>-99.426853721326381</v>
      </c>
      <c r="L117" s="1">
        <f>20*LOG10(ABS(SIN(PI()*Masks[[#This Row],[f]]/Config!$B$41/2000000000)/(PI()*Masks[[#This Row],[f]]/Config!$B$41/2000000000)))+Tx_power_ds-10*LOG10(F_Nyquist_ds)+1.11</f>
        <v>-99.426853721326381</v>
      </c>
      <c r="M117" s="1">
        <f>10*LOG10(1/(1+(Masks[[#This Row],[f]]/Config!$B$41/1000000000)^6))+Tx_power_us-10*LOG10(F_Nyquist_us)+0.45</f>
        <v>-98.692626006778227</v>
      </c>
      <c r="N117" s="1">
        <f>10*LOG10(1/(1+(Masks[[#This Row],[f]]/Config!$C$41/1000000000)^6))+Tx_power_ds-10*LOG10(F_Nyquist_ds)+0.45</f>
        <v>-98.692626006778227</v>
      </c>
      <c r="O117" s="3">
        <f>IF(Masks[[#This Row],[f]]&gt;F_Nyquist_us,0,1)</f>
        <v>1</v>
      </c>
      <c r="P117" s="3">
        <f>IF(Masks[[#This Row],[f]]&gt;F_Nyquist_ds,0,1)</f>
        <v>1</v>
      </c>
      <c r="Q117" s="2">
        <f>Config!B$40</f>
        <v>-41.640813746660612</v>
      </c>
      <c r="R117" s="3">
        <f>IF(Config!B$8&gt;0,10*LOG10($X$1*Masks[[#This Row],[f]]+Config!B$8*0.00073),-1000)</f>
        <v>-10.378201470912323</v>
      </c>
      <c r="S117" s="3">
        <f>10*LOG10((10^(Masks[[#This Row],[wire_echo]]/10))+(10^(Masks[[#This Row],[connector_echo]]/10)))</f>
        <v>-10.37495537932568</v>
      </c>
      <c r="T117" s="54"/>
      <c r="U117" s="54"/>
    </row>
    <row r="118" spans="1:21" x14ac:dyDescent="0.25">
      <c r="A118" s="2">
        <v>-99.464532540633499</v>
      </c>
      <c r="B118" s="2">
        <v>-99.464532540633499</v>
      </c>
      <c r="D118">
        <f>Calculate[[#This Row],[Freq]]</f>
        <v>5265000000</v>
      </c>
      <c r="E118" s="2">
        <f>MIN(-90, -89-Masks[[#This Row],[f]]/(600000000*S_ch_us),-82-Masks[[#This Row],[f]]/(250000000*S_ch_us))-K_ch_UPSD_us</f>
        <v>-96.48940008672038</v>
      </c>
      <c r="F118" s="2">
        <f>MIN(-90, -89-Masks[[#This Row],[f]]/(600000000*S_ch_ds),-82-Masks[[#This Row],[f]]/(250000000*S_ch_ds))-K_ch_UPSD_ds</f>
        <v>-96.48940008672038</v>
      </c>
      <c r="G118">
        <f>-MAX(MIN(20,20-10*LOG10(2*Masks[[#This Row],[f]]/480000000)),12-3)</f>
        <v>-9</v>
      </c>
      <c r="H118">
        <f>-MAX(MIN(20,20-10*LOG10(2*Masks[[#This Row],[f]]/480000000)),12-3)</f>
        <v>-9</v>
      </c>
      <c r="I118">
        <f>10*LOG10(POWER(10,Tx_power_us/10)/F_Nyquist_us)+IF(Masks[[#This Row],[f]]&gt;F_Nyquist_us,-50)</f>
        <v>-98.470325397914564</v>
      </c>
      <c r="J118" s="3">
        <f>10*LOG10(POWER(10,Tx_power_ds/10)/F_Nyquist_ds)+IF(Masks[[#This Row],[f]]&gt;F_Nyquist_ds,-50)</f>
        <v>-98.470325397914564</v>
      </c>
      <c r="K118" s="1">
        <f>20*LOG10(ABS(SIN(PI()*Masks[[#This Row],[f]]/Config!$B$41/2000000000)/(PI()*Masks[[#This Row],[f]]/Config!$B$41/2000000000)))+Tx_power_us-10*LOG10(F_Nyquist_us)+1.11</f>
        <v>-99.464532540633499</v>
      </c>
      <c r="L118" s="1">
        <f>20*LOG10(ABS(SIN(PI()*Masks[[#This Row],[f]]/Config!$B$41/2000000000)/(PI()*Masks[[#This Row],[f]]/Config!$B$41/2000000000)))+Tx_power_ds-10*LOG10(F_Nyquist_ds)+1.11</f>
        <v>-99.464532540633499</v>
      </c>
      <c r="M118" s="1">
        <f>10*LOG10(1/(1+(Masks[[#This Row],[f]]/Config!$B$41/1000000000)^6))+Tx_power_us-10*LOG10(F_Nyquist_us)+0.45</f>
        <v>-98.725420496680414</v>
      </c>
      <c r="N118" s="1">
        <f>10*LOG10(1/(1+(Masks[[#This Row],[f]]/Config!$C$41/1000000000)^6))+Tx_power_ds-10*LOG10(F_Nyquist_ds)+0.45</f>
        <v>-98.725420496680414</v>
      </c>
      <c r="O118" s="3">
        <f>IF(Masks[[#This Row],[f]]&gt;F_Nyquist_us,0,1)</f>
        <v>1</v>
      </c>
      <c r="P118" s="3">
        <f>IF(Masks[[#This Row],[f]]&gt;F_Nyquist_ds,0,1)</f>
        <v>1</v>
      </c>
      <c r="Q118" s="2">
        <f>Config!B$40</f>
        <v>-41.640813746660612</v>
      </c>
      <c r="R118" s="3">
        <f>IF(Config!B$8&gt;0,10*LOG10($X$1*Masks[[#This Row],[f]]+Config!B$8*0.00073),-1000)</f>
        <v>-10.342105407548557</v>
      </c>
      <c r="S118" s="3">
        <f>10*LOG10((10^(Masks[[#This Row],[wire_echo]]/10))+(10^(Masks[[#This Row],[connector_echo]]/10)))</f>
        <v>-10.338886173845889</v>
      </c>
      <c r="T118" s="54"/>
      <c r="U118" s="54"/>
    </row>
    <row r="119" spans="1:21" x14ac:dyDescent="0.25">
      <c r="A119" s="2">
        <v>-99.502606908971174</v>
      </c>
      <c r="B119" s="2">
        <v>-99.502606908971174</v>
      </c>
      <c r="D119">
        <f>Calculate[[#This Row],[Freq]]</f>
        <v>5310000000</v>
      </c>
      <c r="E119" s="2">
        <f>MIN(-90, -89-Masks[[#This Row],[f]]/(600000000*S_ch_us),-82-Masks[[#This Row],[f]]/(250000000*S_ch_us))-K_ch_UPSD_us</f>
        <v>-96.519400086720381</v>
      </c>
      <c r="F119" s="2">
        <f>MIN(-90, -89-Masks[[#This Row],[f]]/(600000000*S_ch_ds),-82-Masks[[#This Row],[f]]/(250000000*S_ch_ds))-K_ch_UPSD_ds</f>
        <v>-96.519400086720381</v>
      </c>
      <c r="G119">
        <f>-MAX(MIN(20,20-10*LOG10(2*Masks[[#This Row],[f]]/480000000)),12-3)</f>
        <v>-9</v>
      </c>
      <c r="H119">
        <f>-MAX(MIN(20,20-10*LOG10(2*Masks[[#This Row],[f]]/480000000)),12-3)</f>
        <v>-9</v>
      </c>
      <c r="I119">
        <f>10*LOG10(POWER(10,Tx_power_us/10)/F_Nyquist_us)+IF(Masks[[#This Row],[f]]&gt;F_Nyquist_us,-50)</f>
        <v>-98.470325397914564</v>
      </c>
      <c r="J119" s="3">
        <f>10*LOG10(POWER(10,Tx_power_ds/10)/F_Nyquist_ds)+IF(Masks[[#This Row],[f]]&gt;F_Nyquist_ds,-50)</f>
        <v>-98.470325397914564</v>
      </c>
      <c r="K119" s="1">
        <f>20*LOG10(ABS(SIN(PI()*Masks[[#This Row],[f]]/Config!$B$41/2000000000)/(PI()*Masks[[#This Row],[f]]/Config!$B$41/2000000000)))+Tx_power_us-10*LOG10(F_Nyquist_us)+1.11</f>
        <v>-99.502606908971174</v>
      </c>
      <c r="L119" s="1">
        <f>20*LOG10(ABS(SIN(PI()*Masks[[#This Row],[f]]/Config!$B$41/2000000000)/(PI()*Masks[[#This Row],[f]]/Config!$B$41/2000000000)))+Tx_power_ds-10*LOG10(F_Nyquist_ds)+1.11</f>
        <v>-99.502606908971174</v>
      </c>
      <c r="M119" s="1">
        <f>10*LOG10(1/(1+(Masks[[#This Row],[f]]/Config!$B$41/1000000000)^6))+Tx_power_us-10*LOG10(F_Nyquist_us)+0.45</f>
        <v>-98.759384753969613</v>
      </c>
      <c r="N119" s="1">
        <f>10*LOG10(1/(1+(Masks[[#This Row],[f]]/Config!$C$41/1000000000)^6))+Tx_power_ds-10*LOG10(F_Nyquist_ds)+0.45</f>
        <v>-98.759384753969613</v>
      </c>
      <c r="O119" s="3">
        <f>IF(Masks[[#This Row],[f]]&gt;F_Nyquist_us,0,1)</f>
        <v>1</v>
      </c>
      <c r="P119" s="3">
        <f>IF(Masks[[#This Row],[f]]&gt;F_Nyquist_ds,0,1)</f>
        <v>1</v>
      </c>
      <c r="Q119" s="2">
        <f>Config!B$40</f>
        <v>-41.640813746660612</v>
      </c>
      <c r="R119" s="3">
        <f>IF(Config!B$8&gt;0,10*LOG10($X$1*Masks[[#This Row],[f]]+Config!B$8*0.00073),-1000)</f>
        <v>-10.306306882664725</v>
      </c>
      <c r="S119" s="3">
        <f>10*LOG10((10^(Masks[[#This Row],[wire_echo]]/10))+(10^(Masks[[#This Row],[connector_echo]]/10)))</f>
        <v>-10.303114066053427</v>
      </c>
      <c r="T119" s="54"/>
      <c r="U119" s="54"/>
    </row>
    <row r="120" spans="1:21" x14ac:dyDescent="0.25">
      <c r="A120" s="2">
        <v>-99.541079067759156</v>
      </c>
      <c r="B120" s="2">
        <v>-99.541079067759156</v>
      </c>
      <c r="D120">
        <f>Calculate[[#This Row],[Freq]]</f>
        <v>5355000000</v>
      </c>
      <c r="E120" s="2">
        <f>MIN(-90, -89-Masks[[#This Row],[f]]/(600000000*S_ch_us),-82-Masks[[#This Row],[f]]/(250000000*S_ch_us))-K_ch_UPSD_us</f>
        <v>-96.549400086720368</v>
      </c>
      <c r="F120" s="2">
        <f>MIN(-90, -89-Masks[[#This Row],[f]]/(600000000*S_ch_ds),-82-Masks[[#This Row],[f]]/(250000000*S_ch_ds))-K_ch_UPSD_ds</f>
        <v>-96.549400086720368</v>
      </c>
      <c r="G120">
        <f>-MAX(MIN(20,20-10*LOG10(2*Masks[[#This Row],[f]]/480000000)),12-3)</f>
        <v>-9</v>
      </c>
      <c r="H120">
        <f>-MAX(MIN(20,20-10*LOG10(2*Masks[[#This Row],[f]]/480000000)),12-3)</f>
        <v>-9</v>
      </c>
      <c r="I120">
        <f>10*LOG10(POWER(10,Tx_power_us/10)/F_Nyquist_us)+IF(Masks[[#This Row],[f]]&gt;F_Nyquist_us,-50)</f>
        <v>-98.470325397914564</v>
      </c>
      <c r="J120" s="3">
        <f>10*LOG10(POWER(10,Tx_power_ds/10)/F_Nyquist_ds)+IF(Masks[[#This Row],[f]]&gt;F_Nyquist_ds,-50)</f>
        <v>-98.470325397914564</v>
      </c>
      <c r="K120" s="1">
        <f>20*LOG10(ABS(SIN(PI()*Masks[[#This Row],[f]]/Config!$B$41/2000000000)/(PI()*Masks[[#This Row],[f]]/Config!$B$41/2000000000)))+Tx_power_us-10*LOG10(F_Nyquist_us)+1.11</f>
        <v>-99.541079067759156</v>
      </c>
      <c r="L120" s="1">
        <f>20*LOG10(ABS(SIN(PI()*Masks[[#This Row],[f]]/Config!$B$41/2000000000)/(PI()*Masks[[#This Row],[f]]/Config!$B$41/2000000000)))+Tx_power_ds-10*LOG10(F_Nyquist_ds)+1.11</f>
        <v>-99.541079067759156</v>
      </c>
      <c r="M120" s="1">
        <f>10*LOG10(1/(1+(Masks[[#This Row],[f]]/Config!$B$41/1000000000)^6))+Tx_power_us-10*LOG10(F_Nyquist_us)+0.45</f>
        <v>-98.794538218678653</v>
      </c>
      <c r="N120" s="1">
        <f>10*LOG10(1/(1+(Masks[[#This Row],[f]]/Config!$C$41/1000000000)^6))+Tx_power_ds-10*LOG10(F_Nyquist_ds)+0.45</f>
        <v>-98.794538218678653</v>
      </c>
      <c r="O120" s="3">
        <f>IF(Masks[[#This Row],[f]]&gt;F_Nyquist_us,0,1)</f>
        <v>1</v>
      </c>
      <c r="P120" s="3">
        <f>IF(Masks[[#This Row],[f]]&gt;F_Nyquist_ds,0,1)</f>
        <v>1</v>
      </c>
      <c r="Q120" s="2">
        <f>Config!B$40</f>
        <v>-41.640813746660612</v>
      </c>
      <c r="R120" s="3">
        <f>IF(Config!B$8&gt;0,10*LOG10($X$1*Masks[[#This Row],[f]]+Config!B$8*0.00073),-1000)</f>
        <v>-10.27080103113973</v>
      </c>
      <c r="S120" s="3">
        <f>10*LOG10((10^(Masks[[#This Row],[wire_echo]]/10))+(10^(Masks[[#This Row],[connector_echo]]/10)))</f>
        <v>-10.267634201590329</v>
      </c>
      <c r="T120" s="54"/>
      <c r="U120" s="54"/>
    </row>
    <row r="121" spans="1:21" x14ac:dyDescent="0.25">
      <c r="A121" s="2">
        <v>-99.579951297557898</v>
      </c>
      <c r="B121" s="2">
        <v>-99.579951297557898</v>
      </c>
      <c r="D121">
        <f>Calculate[[#This Row],[Freq]]</f>
        <v>5400000000</v>
      </c>
      <c r="E121" s="2">
        <f>MIN(-90, -89-Masks[[#This Row],[f]]/(600000000*S_ch_us),-82-Masks[[#This Row],[f]]/(250000000*S_ch_us))-K_ch_UPSD_us</f>
        <v>-96.579400086720369</v>
      </c>
      <c r="F121" s="2">
        <f>MIN(-90, -89-Masks[[#This Row],[f]]/(600000000*S_ch_ds),-82-Masks[[#This Row],[f]]/(250000000*S_ch_ds))-K_ch_UPSD_ds</f>
        <v>-96.579400086720369</v>
      </c>
      <c r="G121">
        <f>-MAX(MIN(20,20-10*LOG10(2*Masks[[#This Row],[f]]/480000000)),12-3)</f>
        <v>-9</v>
      </c>
      <c r="H121">
        <f>-MAX(MIN(20,20-10*LOG10(2*Masks[[#This Row],[f]]/480000000)),12-3)</f>
        <v>-9</v>
      </c>
      <c r="I121">
        <f>10*LOG10(POWER(10,Tx_power_us/10)/F_Nyquist_us)+IF(Masks[[#This Row],[f]]&gt;F_Nyquist_us,-50)</f>
        <v>-98.470325397914564</v>
      </c>
      <c r="J121" s="3">
        <f>10*LOG10(POWER(10,Tx_power_ds/10)/F_Nyquist_ds)+IF(Masks[[#This Row],[f]]&gt;F_Nyquist_ds,-50)</f>
        <v>-98.470325397914564</v>
      </c>
      <c r="K121" s="1">
        <f>20*LOG10(ABS(SIN(PI()*Masks[[#This Row],[f]]/Config!$B$41/2000000000)/(PI()*Masks[[#This Row],[f]]/Config!$B$41/2000000000)))+Tx_power_us-10*LOG10(F_Nyquist_us)+1.11</f>
        <v>-99.579951297557898</v>
      </c>
      <c r="L121" s="1">
        <f>20*LOG10(ABS(SIN(PI()*Masks[[#This Row],[f]]/Config!$B$41/2000000000)/(PI()*Masks[[#This Row],[f]]/Config!$B$41/2000000000)))+Tx_power_ds-10*LOG10(F_Nyquist_ds)+1.11</f>
        <v>-99.579951297557898</v>
      </c>
      <c r="M121" s="1">
        <f>10*LOG10(1/(1+(Masks[[#This Row],[f]]/Config!$B$41/1000000000)^6))+Tx_power_us-10*LOG10(F_Nyquist_us)+0.45</f>
        <v>-98.830899540150625</v>
      </c>
      <c r="N121" s="1">
        <f>10*LOG10(1/(1+(Masks[[#This Row],[f]]/Config!$C$41/1000000000)^6))+Tx_power_ds-10*LOG10(F_Nyquist_ds)+0.45</f>
        <v>-98.830899540150625</v>
      </c>
      <c r="O121" s="3">
        <f>IF(Masks[[#This Row],[f]]&gt;F_Nyquist_us,0,1)</f>
        <v>1</v>
      </c>
      <c r="P121" s="3">
        <f>IF(Masks[[#This Row],[f]]&gt;F_Nyquist_ds,0,1)</f>
        <v>1</v>
      </c>
      <c r="Q121" s="2">
        <f>Config!B$40</f>
        <v>-41.640813746660612</v>
      </c>
      <c r="R121" s="3">
        <f>IF(Config!B$8&gt;0,10*LOG10($X$1*Masks[[#This Row],[f]]+Config!B$8*0.00073),-1000)</f>
        <v>-10.235583106211553</v>
      </c>
      <c r="S121" s="3">
        <f>10*LOG10((10^(Masks[[#This Row],[wire_echo]]/10))+(10^(Masks[[#This Row],[connector_echo]]/10)))</f>
        <v>-10.232441844110129</v>
      </c>
      <c r="T121" s="54"/>
      <c r="U121" s="54"/>
    </row>
    <row r="122" spans="1:21" x14ac:dyDescent="0.25">
      <c r="A122" s="2">
        <v>-99.619225918819026</v>
      </c>
      <c r="B122" s="2">
        <v>-99.619225918819026</v>
      </c>
      <c r="D122">
        <f>Calculate[[#This Row],[Freq]]</f>
        <v>5445000000</v>
      </c>
      <c r="E122" s="2">
        <f>MIN(-90, -89-Masks[[#This Row],[f]]/(600000000*S_ch_us),-82-Masks[[#This Row],[f]]/(250000000*S_ch_us))-K_ch_UPSD_us</f>
        <v>-96.60940008672037</v>
      </c>
      <c r="F122" s="2">
        <f>MIN(-90, -89-Masks[[#This Row],[f]]/(600000000*S_ch_ds),-82-Masks[[#This Row],[f]]/(250000000*S_ch_ds))-K_ch_UPSD_ds</f>
        <v>-96.60940008672037</v>
      </c>
      <c r="G122">
        <f>-MAX(MIN(20,20-10*LOG10(2*Masks[[#This Row],[f]]/480000000)),12-3)</f>
        <v>-9</v>
      </c>
      <c r="H122">
        <f>-MAX(MIN(20,20-10*LOG10(2*Masks[[#This Row],[f]]/480000000)),12-3)</f>
        <v>-9</v>
      </c>
      <c r="I122">
        <f>10*LOG10(POWER(10,Tx_power_us/10)/F_Nyquist_us)+IF(Masks[[#This Row],[f]]&gt;F_Nyquist_us,-50)</f>
        <v>-98.470325397914564</v>
      </c>
      <c r="J122" s="3">
        <f>10*LOG10(POWER(10,Tx_power_ds/10)/F_Nyquist_ds)+IF(Masks[[#This Row],[f]]&gt;F_Nyquist_ds,-50)</f>
        <v>-98.470325397914564</v>
      </c>
      <c r="K122" s="1">
        <f>20*LOG10(ABS(SIN(PI()*Masks[[#This Row],[f]]/Config!$B$41/2000000000)/(PI()*Masks[[#This Row],[f]]/Config!$B$41/2000000000)))+Tx_power_us-10*LOG10(F_Nyquist_us)+1.11</f>
        <v>-99.619225918819026</v>
      </c>
      <c r="L122" s="1">
        <f>20*LOG10(ABS(SIN(PI()*Masks[[#This Row],[f]]/Config!$B$41/2000000000)/(PI()*Masks[[#This Row],[f]]/Config!$B$41/2000000000)))+Tx_power_ds-10*LOG10(F_Nyquist_ds)+1.11</f>
        <v>-99.619225918819026</v>
      </c>
      <c r="M122" s="1">
        <f>10*LOG10(1/(1+(Masks[[#This Row],[f]]/Config!$B$41/1000000000)^6))+Tx_power_us-10*LOG10(F_Nyquist_us)+0.45</f>
        <v>-98.868486521242517</v>
      </c>
      <c r="N122" s="1">
        <f>10*LOG10(1/(1+(Masks[[#This Row],[f]]/Config!$C$41/1000000000)^6))+Tx_power_ds-10*LOG10(F_Nyquist_ds)+0.45</f>
        <v>-98.868486521242517</v>
      </c>
      <c r="O122" s="3">
        <f>IF(Masks[[#This Row],[f]]&gt;F_Nyquist_us,0,1)</f>
        <v>1</v>
      </c>
      <c r="P122" s="3">
        <f>IF(Masks[[#This Row],[f]]&gt;F_Nyquist_ds,0,1)</f>
        <v>1</v>
      </c>
      <c r="Q122" s="2">
        <f>Config!B$40</f>
        <v>-41.640813746660612</v>
      </c>
      <c r="R122" s="3">
        <f>IF(Config!B$8&gt;0,10*LOG10($X$1*Masks[[#This Row],[f]]+Config!B$8*0.00073),-1000)</f>
        <v>-10.200648475668878</v>
      </c>
      <c r="S122" s="3">
        <f>10*LOG10((10^(Masks[[#This Row],[wire_echo]]/10))+(10^(Masks[[#This Row],[connector_echo]]/10)))</f>
        <v>-10.197532371483394</v>
      </c>
      <c r="T122" s="54"/>
      <c r="U122" s="54"/>
    </row>
    <row r="123" spans="1:21" x14ac:dyDescent="0.25">
      <c r="A123" s="2">
        <v>-99.658905292656129</v>
      </c>
      <c r="B123" s="2">
        <v>-99.658905292656129</v>
      </c>
      <c r="D123">
        <f>Calculate[[#This Row],[Freq]]</f>
        <v>5490000000</v>
      </c>
      <c r="E123" s="2">
        <f>MIN(-90, -89-Masks[[#This Row],[f]]/(600000000*S_ch_us),-82-Masks[[#This Row],[f]]/(250000000*S_ch_us))-K_ch_UPSD_us</f>
        <v>-96.639400086720372</v>
      </c>
      <c r="F123" s="2">
        <f>MIN(-90, -89-Masks[[#This Row],[f]]/(600000000*S_ch_ds),-82-Masks[[#This Row],[f]]/(250000000*S_ch_ds))-K_ch_UPSD_ds</f>
        <v>-96.639400086720372</v>
      </c>
      <c r="G123">
        <f>-MAX(MIN(20,20-10*LOG10(2*Masks[[#This Row],[f]]/480000000)),12-3)</f>
        <v>-9</v>
      </c>
      <c r="H123">
        <f>-MAX(MIN(20,20-10*LOG10(2*Masks[[#This Row],[f]]/480000000)),12-3)</f>
        <v>-9</v>
      </c>
      <c r="I123">
        <f>10*LOG10(POWER(10,Tx_power_us/10)/F_Nyquist_us)+IF(Masks[[#This Row],[f]]&gt;F_Nyquist_us,-50)</f>
        <v>-98.470325397914564</v>
      </c>
      <c r="J123" s="3">
        <f>10*LOG10(POWER(10,Tx_power_ds/10)/F_Nyquist_ds)+IF(Masks[[#This Row],[f]]&gt;F_Nyquist_ds,-50)</f>
        <v>-98.470325397914564</v>
      </c>
      <c r="K123" s="1">
        <f>20*LOG10(ABS(SIN(PI()*Masks[[#This Row],[f]]/Config!$B$41/2000000000)/(PI()*Masks[[#This Row],[f]]/Config!$B$41/2000000000)))+Tx_power_us-10*LOG10(F_Nyquist_us)+1.11</f>
        <v>-99.658905292656129</v>
      </c>
      <c r="L123" s="1">
        <f>20*LOG10(ABS(SIN(PI()*Masks[[#This Row],[f]]/Config!$B$41/2000000000)/(PI()*Masks[[#This Row],[f]]/Config!$B$41/2000000000)))+Tx_power_ds-10*LOG10(F_Nyquist_ds)+1.11</f>
        <v>-99.658905292656129</v>
      </c>
      <c r="M123" s="1">
        <f>10*LOG10(1/(1+(Masks[[#This Row],[f]]/Config!$B$41/1000000000)^6))+Tx_power_us-10*LOG10(F_Nyquist_us)+0.45</f>
        <v>-98.907316063844647</v>
      </c>
      <c r="N123" s="1">
        <f>10*LOG10(1/(1+(Masks[[#This Row],[f]]/Config!$C$41/1000000000)^6))+Tx_power_ds-10*LOG10(F_Nyquist_ds)+0.45</f>
        <v>-98.907316063844647</v>
      </c>
      <c r="O123" s="3">
        <f>IF(Masks[[#This Row],[f]]&gt;F_Nyquist_us,0,1)</f>
        <v>1</v>
      </c>
      <c r="P123" s="3">
        <f>IF(Masks[[#This Row],[f]]&gt;F_Nyquist_ds,0,1)</f>
        <v>1</v>
      </c>
      <c r="Q123" s="2">
        <f>Config!B$40</f>
        <v>-41.640813746660612</v>
      </c>
      <c r="R123" s="3">
        <f>IF(Config!B$8&gt;0,10*LOG10($X$1*Masks[[#This Row],[f]]+Config!B$8*0.00073),-1000)</f>
        <v>-10.165992618194617</v>
      </c>
      <c r="S123" s="3">
        <f>10*LOG10((10^(Masks[[#This Row],[wire_echo]]/10))+(10^(Masks[[#This Row],[connector_echo]]/10)))</f>
        <v>-10.162901272154503</v>
      </c>
      <c r="T123" s="54"/>
      <c r="U123" s="54"/>
    </row>
    <row r="124" spans="1:21" x14ac:dyDescent="0.25">
      <c r="A124" s="2">
        <v>-99.698991821636014</v>
      </c>
      <c r="B124" s="2">
        <v>-99.698991821636014</v>
      </c>
      <c r="D124">
        <f>Calculate[[#This Row],[Freq]]</f>
        <v>5535000000</v>
      </c>
      <c r="E124" s="2">
        <f>MIN(-90, -89-Masks[[#This Row],[f]]/(600000000*S_ch_us),-82-Masks[[#This Row],[f]]/(250000000*S_ch_us))-K_ch_UPSD_us</f>
        <v>-96.669400086720373</v>
      </c>
      <c r="F124" s="2">
        <f>MIN(-90, -89-Masks[[#This Row],[f]]/(600000000*S_ch_ds),-82-Masks[[#This Row],[f]]/(250000000*S_ch_ds))-K_ch_UPSD_ds</f>
        <v>-96.669400086720373</v>
      </c>
      <c r="G124">
        <f>-MAX(MIN(20,20-10*LOG10(2*Masks[[#This Row],[f]]/480000000)),12-3)</f>
        <v>-9</v>
      </c>
      <c r="H124">
        <f>-MAX(MIN(20,20-10*LOG10(2*Masks[[#This Row],[f]]/480000000)),12-3)</f>
        <v>-9</v>
      </c>
      <c r="I124">
        <f>10*LOG10(POWER(10,Tx_power_us/10)/F_Nyquist_us)+IF(Masks[[#This Row],[f]]&gt;F_Nyquist_us,-50)</f>
        <v>-98.470325397914564</v>
      </c>
      <c r="J124" s="3">
        <f>10*LOG10(POWER(10,Tx_power_ds/10)/F_Nyquist_ds)+IF(Masks[[#This Row],[f]]&gt;F_Nyquist_ds,-50)</f>
        <v>-98.470325397914564</v>
      </c>
      <c r="K124" s="1">
        <f>20*LOG10(ABS(SIN(PI()*Masks[[#This Row],[f]]/Config!$B$41/2000000000)/(PI()*Masks[[#This Row],[f]]/Config!$B$41/2000000000)))+Tx_power_us-10*LOG10(F_Nyquist_us)+1.11</f>
        <v>-99.698991821636014</v>
      </c>
      <c r="L124" s="1">
        <f>20*LOG10(ABS(SIN(PI()*Masks[[#This Row],[f]]/Config!$B$41/2000000000)/(PI()*Masks[[#This Row],[f]]/Config!$B$41/2000000000)))+Tx_power_ds-10*LOG10(F_Nyquist_ds)+1.11</f>
        <v>-99.698991821636014</v>
      </c>
      <c r="M124" s="1">
        <f>10*LOG10(1/(1+(Masks[[#This Row],[f]]/Config!$B$41/1000000000)^6))+Tx_power_us-10*LOG10(F_Nyquist_us)+0.45</f>
        <v>-98.9474041160166</v>
      </c>
      <c r="N124" s="1">
        <f>10*LOG10(1/(1+(Masks[[#This Row],[f]]/Config!$C$41/1000000000)^6))+Tx_power_ds-10*LOG10(F_Nyquist_ds)+0.45</f>
        <v>-98.9474041160166</v>
      </c>
      <c r="O124" s="3">
        <f>IF(Masks[[#This Row],[f]]&gt;F_Nyquist_us,0,1)</f>
        <v>1</v>
      </c>
      <c r="P124" s="3">
        <f>IF(Masks[[#This Row],[f]]&gt;F_Nyquist_ds,0,1)</f>
        <v>1</v>
      </c>
      <c r="Q124" s="2">
        <f>Config!B$40</f>
        <v>-41.640813746660612</v>
      </c>
      <c r="R124" s="3">
        <f>IF(Config!B$8&gt;0,10*LOG10($X$1*Masks[[#This Row],[f]]+Config!B$8*0.00073),-1000)</f>
        <v>-10.13161111985421</v>
      </c>
      <c r="S124" s="3">
        <f>10*LOG10((10^(Masks[[#This Row],[wire_echo]]/10))+(10^(Masks[[#This Row],[connector_echo]]/10)))</f>
        <v>-10.128544141642593</v>
      </c>
      <c r="T124" s="54"/>
      <c r="U124" s="54"/>
    </row>
    <row r="125" spans="1:21" x14ac:dyDescent="0.25">
      <c r="A125" s="2">
        <v>-99.739487950591496</v>
      </c>
      <c r="B125" s="2">
        <v>-99.739487950591496</v>
      </c>
      <c r="D125">
        <f>Calculate[[#This Row],[Freq]]</f>
        <v>5580000000</v>
      </c>
      <c r="E125" s="2">
        <f>MIN(-90, -89-Masks[[#This Row],[f]]/(600000000*S_ch_us),-82-Masks[[#This Row],[f]]/(250000000*S_ch_us))-K_ch_UPSD_us</f>
        <v>-96.699400086720374</v>
      </c>
      <c r="F125" s="2">
        <f>MIN(-90, -89-Masks[[#This Row],[f]]/(600000000*S_ch_ds),-82-Masks[[#This Row],[f]]/(250000000*S_ch_ds))-K_ch_UPSD_ds</f>
        <v>-96.699400086720374</v>
      </c>
      <c r="G125">
        <f>-MAX(MIN(20,20-10*LOG10(2*Masks[[#This Row],[f]]/480000000)),12-3)</f>
        <v>-9</v>
      </c>
      <c r="H125">
        <f>-MAX(MIN(20,20-10*LOG10(2*Masks[[#This Row],[f]]/480000000)),12-3)</f>
        <v>-9</v>
      </c>
      <c r="I125">
        <f>10*LOG10(POWER(10,Tx_power_us/10)/F_Nyquist_us)+IF(Masks[[#This Row],[f]]&gt;F_Nyquist_us,-50)</f>
        <v>-98.470325397914564</v>
      </c>
      <c r="J125" s="3">
        <f>10*LOG10(POWER(10,Tx_power_ds/10)/F_Nyquist_ds)+IF(Masks[[#This Row],[f]]&gt;F_Nyquist_ds,-50)</f>
        <v>-98.470325397914564</v>
      </c>
      <c r="K125" s="1">
        <f>20*LOG10(ABS(SIN(PI()*Masks[[#This Row],[f]]/Config!$B$41/2000000000)/(PI()*Masks[[#This Row],[f]]/Config!$B$41/2000000000)))+Tx_power_us-10*LOG10(F_Nyquist_us)+1.11</f>
        <v>-99.739487950591496</v>
      </c>
      <c r="L125" s="1">
        <f>20*LOG10(ABS(SIN(PI()*Masks[[#This Row],[f]]/Config!$B$41/2000000000)/(PI()*Masks[[#This Row],[f]]/Config!$B$41/2000000000)))+Tx_power_ds-10*LOG10(F_Nyquist_ds)+1.11</f>
        <v>-99.739487950591496</v>
      </c>
      <c r="M125" s="1">
        <f>10*LOG10(1/(1+(Masks[[#This Row],[f]]/Config!$B$41/1000000000)^6))+Tx_power_us-10*LOG10(F_Nyquist_us)+0.45</f>
        <v>-98.988765621040642</v>
      </c>
      <c r="N125" s="1">
        <f>10*LOG10(1/(1+(Masks[[#This Row],[f]]/Config!$C$41/1000000000)^6))+Tx_power_ds-10*LOG10(F_Nyquist_ds)+0.45</f>
        <v>-98.988765621040642</v>
      </c>
      <c r="O125" s="3">
        <f>IF(Masks[[#This Row],[f]]&gt;F_Nyquist_us,0,1)</f>
        <v>1</v>
      </c>
      <c r="P125" s="3">
        <f>IF(Masks[[#This Row],[f]]&gt;F_Nyquist_ds,0,1)</f>
        <v>1</v>
      </c>
      <c r="Q125" s="2">
        <f>Config!B$40</f>
        <v>-41.640813746660612</v>
      </c>
      <c r="R125" s="3">
        <f>IF(Config!B$8&gt;0,10*LOG10($X$1*Masks[[#This Row],[f]]+Config!B$8*0.00073),-1000)</f>
        <v>-10.097499670721833</v>
      </c>
      <c r="S125" s="3">
        <f>10*LOG10((10^(Masks[[#This Row],[wire_echo]]/10))+(10^(Masks[[#This Row],[connector_echo]]/10)))</f>
        <v>-10.094456679179775</v>
      </c>
      <c r="T125" s="54"/>
      <c r="U125" s="54"/>
    </row>
    <row r="126" spans="1:21" x14ac:dyDescent="0.25">
      <c r="A126" s="2">
        <v>-99.780396167456232</v>
      </c>
      <c r="B126" s="2">
        <v>-99.780396167456232</v>
      </c>
      <c r="D126">
        <f>Calculate[[#This Row],[Freq]]</f>
        <v>5625000000</v>
      </c>
      <c r="E126" s="2">
        <f>MIN(-90, -89-Masks[[#This Row],[f]]/(600000000*S_ch_us),-82-Masks[[#This Row],[f]]/(250000000*S_ch_us))-K_ch_UPSD_us</f>
        <v>-96.729400086720375</v>
      </c>
      <c r="F126" s="2">
        <f>MIN(-90, -89-Masks[[#This Row],[f]]/(600000000*S_ch_ds),-82-Masks[[#This Row],[f]]/(250000000*S_ch_ds))-K_ch_UPSD_ds</f>
        <v>-96.729400086720375</v>
      </c>
      <c r="G126">
        <f>-MAX(MIN(20,20-10*LOG10(2*Masks[[#This Row],[f]]/480000000)),12-3)</f>
        <v>-9</v>
      </c>
      <c r="H126">
        <f>-MAX(MIN(20,20-10*LOG10(2*Masks[[#This Row],[f]]/480000000)),12-3)</f>
        <v>-9</v>
      </c>
      <c r="I126">
        <f>10*LOG10(POWER(10,Tx_power_us/10)/F_Nyquist_us)+IF(Masks[[#This Row],[f]]&gt;F_Nyquist_us,-50)</f>
        <v>-98.470325397914564</v>
      </c>
      <c r="J126" s="3">
        <f>10*LOG10(POWER(10,Tx_power_ds/10)/F_Nyquist_ds)+IF(Masks[[#This Row],[f]]&gt;F_Nyquist_ds,-50)</f>
        <v>-98.470325397914564</v>
      </c>
      <c r="K126" s="1">
        <f>20*LOG10(ABS(SIN(PI()*Masks[[#This Row],[f]]/Config!$B$41/2000000000)/(PI()*Masks[[#This Row],[f]]/Config!$B$41/2000000000)))+Tx_power_us-10*LOG10(F_Nyquist_us)+1.11</f>
        <v>-99.780396167456232</v>
      </c>
      <c r="L126" s="1">
        <f>20*LOG10(ABS(SIN(PI()*Masks[[#This Row],[f]]/Config!$B$41/2000000000)/(PI()*Masks[[#This Row],[f]]/Config!$B$41/2000000000)))+Tx_power_ds-10*LOG10(F_Nyquist_ds)+1.11</f>
        <v>-99.780396167456232</v>
      </c>
      <c r="M126" s="1">
        <f>10*LOG10(1/(1+(Masks[[#This Row],[f]]/Config!$B$41/1000000000)^6))+Tx_power_us-10*LOG10(F_Nyquist_us)+0.45</f>
        <v>-99.031414468689107</v>
      </c>
      <c r="N126" s="1">
        <f>10*LOG10(1/(1+(Masks[[#This Row],[f]]/Config!$C$41/1000000000)^6))+Tx_power_ds-10*LOG10(F_Nyquist_ds)+0.45</f>
        <v>-99.031414468689107</v>
      </c>
      <c r="O126" s="3">
        <f>IF(Masks[[#This Row],[f]]&gt;F_Nyquist_us,0,1)</f>
        <v>1</v>
      </c>
      <c r="P126" s="3">
        <f>IF(Masks[[#This Row],[f]]&gt;F_Nyquist_ds,0,1)</f>
        <v>1</v>
      </c>
      <c r="Q126" s="2">
        <f>Config!B$40</f>
        <v>-41.640813746660612</v>
      </c>
      <c r="R126" s="3">
        <f>IF(Config!B$8&gt;0,10*LOG10($X$1*Masks[[#This Row],[f]]+Config!B$8*0.00073),-1000)</f>
        <v>-10.063654061638065</v>
      </c>
      <c r="S126" s="3">
        <f>10*LOG10((10^(Masks[[#This Row],[wire_echo]]/10))+(10^(Masks[[#This Row],[connector_echo]]/10)))</f>
        <v>-10.060634684480307</v>
      </c>
      <c r="T126" s="54"/>
      <c r="U126" s="54"/>
    </row>
    <row r="127" spans="1:21" x14ac:dyDescent="0.25">
      <c r="A127" s="2">
        <v>-99.821719004122201</v>
      </c>
      <c r="B127" s="2">
        <v>-99.821719004122201</v>
      </c>
      <c r="D127">
        <f>Calculate[[#This Row],[Freq]]</f>
        <v>5670000000</v>
      </c>
      <c r="E127" s="2">
        <f>MIN(-90, -89-Masks[[#This Row],[f]]/(600000000*S_ch_us),-82-Masks[[#This Row],[f]]/(250000000*S_ch_us))-K_ch_UPSD_us</f>
        <v>-96.759400086720376</v>
      </c>
      <c r="F127" s="2">
        <f>MIN(-90, -89-Masks[[#This Row],[f]]/(600000000*S_ch_ds),-82-Masks[[#This Row],[f]]/(250000000*S_ch_ds))-K_ch_UPSD_ds</f>
        <v>-96.759400086720376</v>
      </c>
      <c r="G127">
        <f>-MAX(MIN(20,20-10*LOG10(2*Masks[[#This Row],[f]]/480000000)),12-3)</f>
        <v>-9</v>
      </c>
      <c r="H127">
        <f>-MAX(MIN(20,20-10*LOG10(2*Masks[[#This Row],[f]]/480000000)),12-3)</f>
        <v>-9</v>
      </c>
      <c r="I127">
        <f>10*LOG10(POWER(10,Tx_power_us/10)/F_Nyquist_us)+IF(Masks[[#This Row],[f]]&gt;F_Nyquist_us,-50)</f>
        <v>-98.470325397914564</v>
      </c>
      <c r="J127" s="3">
        <f>10*LOG10(POWER(10,Tx_power_ds/10)/F_Nyquist_ds)+IF(Masks[[#This Row],[f]]&gt;F_Nyquist_ds,-50)</f>
        <v>-98.470325397914564</v>
      </c>
      <c r="K127" s="1">
        <f>20*LOG10(ABS(SIN(PI()*Masks[[#This Row],[f]]/Config!$B$41/2000000000)/(PI()*Masks[[#This Row],[f]]/Config!$B$41/2000000000)))+Tx_power_us-10*LOG10(F_Nyquist_us)+1.11</f>
        <v>-99.821719004122201</v>
      </c>
      <c r="L127" s="1">
        <f>20*LOG10(ABS(SIN(PI()*Masks[[#This Row],[f]]/Config!$B$41/2000000000)/(PI()*Masks[[#This Row],[f]]/Config!$B$41/2000000000)))+Tx_power_ds-10*LOG10(F_Nyquist_ds)+1.11</f>
        <v>-99.821719004122201</v>
      </c>
      <c r="M127" s="1">
        <f>10*LOG10(1/(1+(Masks[[#This Row],[f]]/Config!$B$41/1000000000)^6))+Tx_power_us-10*LOG10(F_Nyquist_us)+0.45</f>
        <v>-99.075363448997265</v>
      </c>
      <c r="N127" s="1">
        <f>10*LOG10(1/(1+(Masks[[#This Row],[f]]/Config!$C$41/1000000000)^6))+Tx_power_ds-10*LOG10(F_Nyquist_ds)+0.45</f>
        <v>-99.075363448997265</v>
      </c>
      <c r="O127" s="3">
        <f>IF(Masks[[#This Row],[f]]&gt;F_Nyquist_us,0,1)</f>
        <v>1</v>
      </c>
      <c r="P127" s="3">
        <f>IF(Masks[[#This Row],[f]]&gt;F_Nyquist_ds,0,1)</f>
        <v>1</v>
      </c>
      <c r="Q127" s="2">
        <f>Config!B$40</f>
        <v>-41.640813746660612</v>
      </c>
      <c r="R127" s="3">
        <f>IF(Config!B$8&gt;0,10*LOG10($X$1*Masks[[#This Row],[f]]+Config!B$8*0.00073),-1000)</f>
        <v>-10.030070181092942</v>
      </c>
      <c r="S127" s="3">
        <f>10*LOG10((10^(Masks[[#This Row],[wire_echo]]/10))+(10^(Masks[[#This Row],[connector_echo]]/10)))</f>
        <v>-10.027074054634559</v>
      </c>
      <c r="T127" s="54"/>
      <c r="U127" s="54"/>
    </row>
    <row r="128" spans="1:21" x14ac:dyDescent="0.25">
      <c r="A128" s="2">
        <v>-99.863459037320752</v>
      </c>
      <c r="B128" s="2">
        <v>-99.863459037320752</v>
      </c>
      <c r="D128">
        <f>Calculate[[#This Row],[Freq]]</f>
        <v>5715000000</v>
      </c>
      <c r="E128" s="2">
        <f>MIN(-90, -89-Masks[[#This Row],[f]]/(600000000*S_ch_us),-82-Masks[[#This Row],[f]]/(250000000*S_ch_us))-K_ch_UPSD_us</f>
        <v>-96.789400086720377</v>
      </c>
      <c r="F128" s="2">
        <f>MIN(-90, -89-Masks[[#This Row],[f]]/(600000000*S_ch_ds),-82-Masks[[#This Row],[f]]/(250000000*S_ch_ds))-K_ch_UPSD_ds</f>
        <v>-96.789400086720377</v>
      </c>
      <c r="G128">
        <f>-MAX(MIN(20,20-10*LOG10(2*Masks[[#This Row],[f]]/480000000)),12-3)</f>
        <v>-9</v>
      </c>
      <c r="H128">
        <f>-MAX(MIN(20,20-10*LOG10(2*Masks[[#This Row],[f]]/480000000)),12-3)</f>
        <v>-9</v>
      </c>
      <c r="I128">
        <f>10*LOG10(POWER(10,Tx_power_us/10)/F_Nyquist_us)+IF(Masks[[#This Row],[f]]&gt;F_Nyquist_us,-50)</f>
        <v>-98.470325397914564</v>
      </c>
      <c r="J128" s="3">
        <f>10*LOG10(POWER(10,Tx_power_ds/10)/F_Nyquist_ds)+IF(Masks[[#This Row],[f]]&gt;F_Nyquist_ds,-50)</f>
        <v>-98.470325397914564</v>
      </c>
      <c r="K128" s="1">
        <f>20*LOG10(ABS(SIN(PI()*Masks[[#This Row],[f]]/Config!$B$41/2000000000)/(PI()*Masks[[#This Row],[f]]/Config!$B$41/2000000000)))+Tx_power_us-10*LOG10(F_Nyquist_us)+1.11</f>
        <v>-99.863459037320752</v>
      </c>
      <c r="L128" s="1">
        <f>20*LOG10(ABS(SIN(PI()*Masks[[#This Row],[f]]/Config!$B$41/2000000000)/(PI()*Masks[[#This Row],[f]]/Config!$B$41/2000000000)))+Tx_power_ds-10*LOG10(F_Nyquist_ds)+1.11</f>
        <v>-99.863459037320752</v>
      </c>
      <c r="M128" s="1">
        <f>10*LOG10(1/(1+(Masks[[#This Row],[f]]/Config!$B$41/1000000000)^6))+Tx_power_us-10*LOG10(F_Nyquist_us)+0.45</f>
        <v>-99.120624208823131</v>
      </c>
      <c r="N128" s="1">
        <f>10*LOG10(1/(1+(Masks[[#This Row],[f]]/Config!$C$41/1000000000)^6))+Tx_power_ds-10*LOG10(F_Nyquist_ds)+0.45</f>
        <v>-99.120624208823131</v>
      </c>
      <c r="O128" s="3">
        <f>IF(Masks[[#This Row],[f]]&gt;F_Nyquist_us,0,1)</f>
        <v>1</v>
      </c>
      <c r="P128" s="3">
        <f>IF(Masks[[#This Row],[f]]&gt;F_Nyquist_ds,0,1)</f>
        <v>1</v>
      </c>
      <c r="Q128" s="2">
        <f>Config!B$40</f>
        <v>-41.640813746660612</v>
      </c>
      <c r="R128" s="3">
        <f>IF(Config!B$8&gt;0,10*LOG10($X$1*Masks[[#This Row],[f]]+Config!B$8*0.00073),-1000)</f>
        <v>-9.9967440122285733</v>
      </c>
      <c r="S128" s="3">
        <f>10*LOG10((10^(Masks[[#This Row],[wire_echo]]/10))+(10^(Masks[[#This Row],[connector_echo]]/10)))</f>
        <v>-9.9937707811221035</v>
      </c>
      <c r="T128" s="54"/>
      <c r="U128" s="54"/>
    </row>
    <row r="129" spans="1:21" x14ac:dyDescent="0.25">
      <c r="A129" s="2">
        <v>-99.905618889527801</v>
      </c>
      <c r="B129" s="2">
        <v>-99.905618889527801</v>
      </c>
      <c r="D129">
        <f>Calculate[[#This Row],[Freq]]</f>
        <v>5760000000</v>
      </c>
      <c r="E129" s="2">
        <f>MIN(-90, -89-Masks[[#This Row],[f]]/(600000000*S_ch_us),-82-Masks[[#This Row],[f]]/(250000000*S_ch_us))-K_ch_UPSD_us</f>
        <v>-96.819400086720378</v>
      </c>
      <c r="F129" s="2">
        <f>MIN(-90, -89-Masks[[#This Row],[f]]/(600000000*S_ch_ds),-82-Masks[[#This Row],[f]]/(250000000*S_ch_ds))-K_ch_UPSD_ds</f>
        <v>-96.819400086720378</v>
      </c>
      <c r="G129">
        <f>-MAX(MIN(20,20-10*LOG10(2*Masks[[#This Row],[f]]/480000000)),12-3)</f>
        <v>-9</v>
      </c>
      <c r="H129">
        <f>-MAX(MIN(20,20-10*LOG10(2*Masks[[#This Row],[f]]/480000000)),12-3)</f>
        <v>-9</v>
      </c>
      <c r="I129">
        <f>10*LOG10(POWER(10,Tx_power_us/10)/F_Nyquist_us)+IF(Masks[[#This Row],[f]]&gt;F_Nyquist_us,-50)</f>
        <v>-98.470325397914564</v>
      </c>
      <c r="J129" s="3">
        <f>10*LOG10(POWER(10,Tx_power_ds/10)/F_Nyquist_ds)+IF(Masks[[#This Row],[f]]&gt;F_Nyquist_ds,-50)</f>
        <v>-98.470325397914564</v>
      </c>
      <c r="K129" s="1">
        <f>20*LOG10(ABS(SIN(PI()*Masks[[#This Row],[f]]/Config!$B$41/2000000000)/(PI()*Masks[[#This Row],[f]]/Config!$B$41/2000000000)))+Tx_power_us-10*LOG10(F_Nyquist_us)+1.11</f>
        <v>-99.905618889527801</v>
      </c>
      <c r="L129" s="1">
        <f>20*LOG10(ABS(SIN(PI()*Masks[[#This Row],[f]]/Config!$B$41/2000000000)/(PI()*Masks[[#This Row],[f]]/Config!$B$41/2000000000)))+Tx_power_ds-10*LOG10(F_Nyquist_ds)+1.11</f>
        <v>-99.905618889527801</v>
      </c>
      <c r="M129" s="1">
        <f>10*LOG10(1/(1+(Masks[[#This Row],[f]]/Config!$B$41/1000000000)^6))+Tx_power_us-10*LOG10(F_Nyquist_us)+0.45</f>
        <v>-99.167207211464444</v>
      </c>
      <c r="N129" s="1">
        <f>10*LOG10(1/(1+(Masks[[#This Row],[f]]/Config!$C$41/1000000000)^6))+Tx_power_ds-10*LOG10(F_Nyquist_ds)+0.45</f>
        <v>-99.167207211464444</v>
      </c>
      <c r="O129" s="3">
        <f>IF(Masks[[#This Row],[f]]&gt;F_Nyquist_us,0,1)</f>
        <v>1</v>
      </c>
      <c r="P129" s="3">
        <f>IF(Masks[[#This Row],[f]]&gt;F_Nyquist_ds,0,1)</f>
        <v>1</v>
      </c>
      <c r="Q129" s="2">
        <f>Config!B$40</f>
        <v>-41.640813746660612</v>
      </c>
      <c r="R129" s="3">
        <f>IF(Config!B$8&gt;0,10*LOG10($X$1*Masks[[#This Row],[f]]+Config!B$8*0.00073),-1000)</f>
        <v>-9.9636716299559165</v>
      </c>
      <c r="S129" s="3">
        <f>10*LOG10((10^(Masks[[#This Row],[wire_echo]]/10))+(10^(Masks[[#This Row],[connector_echo]]/10)))</f>
        <v>-9.9607209469384426</v>
      </c>
      <c r="T129" s="54"/>
      <c r="U129" s="54"/>
    </row>
    <row r="130" spans="1:21" x14ac:dyDescent="0.25">
      <c r="A130" s="2">
        <v>-99.948201229894082</v>
      </c>
      <c r="B130" s="2">
        <v>-99.948201229894082</v>
      </c>
      <c r="D130">
        <f>Calculate[[#This Row],[Freq]]</f>
        <v>5805000000</v>
      </c>
      <c r="E130" s="2">
        <f>MIN(-90, -89-Masks[[#This Row],[f]]/(600000000*S_ch_us),-82-Masks[[#This Row],[f]]/(250000000*S_ch_us))-K_ch_UPSD_us</f>
        <v>-96.849400086720379</v>
      </c>
      <c r="F130" s="2">
        <f>MIN(-90, -89-Masks[[#This Row],[f]]/(600000000*S_ch_ds),-82-Masks[[#This Row],[f]]/(250000000*S_ch_ds))-K_ch_UPSD_ds</f>
        <v>-96.849400086720379</v>
      </c>
      <c r="G130">
        <f>-MAX(MIN(20,20-10*LOG10(2*Masks[[#This Row],[f]]/480000000)),12-3)</f>
        <v>-9</v>
      </c>
      <c r="H130">
        <f>-MAX(MIN(20,20-10*LOG10(2*Masks[[#This Row],[f]]/480000000)),12-3)</f>
        <v>-9</v>
      </c>
      <c r="I130">
        <f>10*LOG10(POWER(10,Tx_power_us/10)/F_Nyquist_us)+IF(Masks[[#This Row],[f]]&gt;F_Nyquist_us,-50)</f>
        <v>-98.470325397914564</v>
      </c>
      <c r="J130" s="3">
        <f>10*LOG10(POWER(10,Tx_power_ds/10)/F_Nyquist_ds)+IF(Masks[[#This Row],[f]]&gt;F_Nyquist_ds,-50)</f>
        <v>-98.470325397914564</v>
      </c>
      <c r="K130" s="1">
        <f>20*LOG10(ABS(SIN(PI()*Masks[[#This Row],[f]]/Config!$B$41/2000000000)/(PI()*Masks[[#This Row],[f]]/Config!$B$41/2000000000)))+Tx_power_us-10*LOG10(F_Nyquist_us)+1.11</f>
        <v>-99.948201229894082</v>
      </c>
      <c r="L130" s="1">
        <f>20*LOG10(ABS(SIN(PI()*Masks[[#This Row],[f]]/Config!$B$41/2000000000)/(PI()*Masks[[#This Row],[f]]/Config!$B$41/2000000000)))+Tx_power_ds-10*LOG10(F_Nyquist_ds)+1.11</f>
        <v>-99.948201229894082</v>
      </c>
      <c r="M130" s="1">
        <f>10*LOG10(1/(1+(Masks[[#This Row],[f]]/Config!$B$41/1000000000)^6))+Tx_power_us-10*LOG10(F_Nyquist_us)+0.45</f>
        <v>-99.215121699588479</v>
      </c>
      <c r="N130" s="1">
        <f>10*LOG10(1/(1+(Masks[[#This Row],[f]]/Config!$C$41/1000000000)^6))+Tx_power_ds-10*LOG10(F_Nyquist_ds)+0.45</f>
        <v>-99.215121699588479</v>
      </c>
      <c r="O130" s="3">
        <f>IF(Masks[[#This Row],[f]]&gt;F_Nyquist_us,0,1)</f>
        <v>1</v>
      </c>
      <c r="P130" s="3">
        <f>IF(Masks[[#This Row],[f]]&gt;F_Nyquist_ds,0,1)</f>
        <v>1</v>
      </c>
      <c r="Q130" s="2">
        <f>Config!B$40</f>
        <v>-41.640813746660612</v>
      </c>
      <c r="R130" s="3">
        <f>IF(Config!B$8&gt;0,10*LOG10($X$1*Masks[[#This Row],[f]]+Config!B$8*0.00073),-1000)</f>
        <v>-9.9308491981805052</v>
      </c>
      <c r="S130" s="3">
        <f>10*LOG10((10^(Masks[[#This Row],[wire_echo]]/10))+(10^(Masks[[#This Row],[connector_echo]]/10)))</f>
        <v>-9.9279207238302565</v>
      </c>
      <c r="T130" s="54"/>
      <c r="U130" s="54"/>
    </row>
    <row r="131" spans="1:21" x14ac:dyDescent="0.25">
      <c r="A131" s="2">
        <v>-99.991208775201159</v>
      </c>
      <c r="B131" s="2">
        <v>-99.991208775201159</v>
      </c>
      <c r="D131">
        <f>Calculate[[#This Row],[Freq]]</f>
        <v>5850000000</v>
      </c>
      <c r="E131" s="2">
        <f>MIN(-90, -89-Masks[[#This Row],[f]]/(600000000*S_ch_us),-82-Masks[[#This Row],[f]]/(250000000*S_ch_us))-K_ch_UPSD_us</f>
        <v>-96.879400086720381</v>
      </c>
      <c r="F131" s="2">
        <f>MIN(-90, -89-Masks[[#This Row],[f]]/(600000000*S_ch_ds),-82-Masks[[#This Row],[f]]/(250000000*S_ch_ds))-K_ch_UPSD_ds</f>
        <v>-96.879400086720381</v>
      </c>
      <c r="G131">
        <f>-MAX(MIN(20,20-10*LOG10(2*Masks[[#This Row],[f]]/480000000)),12-3)</f>
        <v>-9</v>
      </c>
      <c r="H131">
        <f>-MAX(MIN(20,20-10*LOG10(2*Masks[[#This Row],[f]]/480000000)),12-3)</f>
        <v>-9</v>
      </c>
      <c r="I131">
        <f>10*LOG10(POWER(10,Tx_power_us/10)/F_Nyquist_us)+IF(Masks[[#This Row],[f]]&gt;F_Nyquist_us,-50)</f>
        <v>-98.470325397914564</v>
      </c>
      <c r="J131" s="3">
        <f>10*LOG10(POWER(10,Tx_power_ds/10)/F_Nyquist_ds)+IF(Masks[[#This Row],[f]]&gt;F_Nyquist_ds,-50)</f>
        <v>-98.470325397914564</v>
      </c>
      <c r="K131" s="1">
        <f>20*LOG10(ABS(SIN(PI()*Masks[[#This Row],[f]]/Config!$B$41/2000000000)/(PI()*Masks[[#This Row],[f]]/Config!$B$41/2000000000)))+Tx_power_us-10*LOG10(F_Nyquist_us)+1.11</f>
        <v>-99.991208775201159</v>
      </c>
      <c r="L131" s="1">
        <f>20*LOG10(ABS(SIN(PI()*Masks[[#This Row],[f]]/Config!$B$41/2000000000)/(PI()*Masks[[#This Row],[f]]/Config!$B$41/2000000000)))+Tx_power_ds-10*LOG10(F_Nyquist_ds)+1.11</f>
        <v>-99.991208775201159</v>
      </c>
      <c r="M131" s="1">
        <f>10*LOG10(1/(1+(Masks[[#This Row],[f]]/Config!$B$41/1000000000)^6))+Tx_power_us-10*LOG10(F_Nyquist_us)+0.45</f>
        <v>-99.264375661712407</v>
      </c>
      <c r="N131" s="1">
        <f>10*LOG10(1/(1+(Masks[[#This Row],[f]]/Config!$C$41/1000000000)^6))+Tx_power_ds-10*LOG10(F_Nyquist_ds)+0.45</f>
        <v>-99.264375661712407</v>
      </c>
      <c r="O131" s="3">
        <f>IF(Masks[[#This Row],[f]]&gt;F_Nyquist_us,0,1)</f>
        <v>1</v>
      </c>
      <c r="P131" s="3">
        <f>IF(Masks[[#This Row],[f]]&gt;F_Nyquist_ds,0,1)</f>
        <v>1</v>
      </c>
      <c r="Q131" s="2">
        <f>Config!B$40</f>
        <v>-41.640813746660612</v>
      </c>
      <c r="R131" s="3">
        <f>IF(Config!B$8&gt;0,10*LOG10($X$1*Masks[[#This Row],[f]]+Config!B$8*0.00073),-1000)</f>
        <v>-9.8982729671322129</v>
      </c>
      <c r="S131" s="3">
        <f>10*LOG10((10^(Masks[[#This Row],[wire_echo]]/10))+(10^(Masks[[#This Row],[connector_echo]]/10)))</f>
        <v>-9.8953663696342673</v>
      </c>
      <c r="T131" s="54"/>
      <c r="U131" s="54"/>
    </row>
    <row r="132" spans="1:21" x14ac:dyDescent="0.25">
      <c r="A132" s="2">
        <v>-100.0346442908442</v>
      </c>
      <c r="B132" s="2">
        <v>-100.0346442908442</v>
      </c>
      <c r="D132">
        <f>Calculate[[#This Row],[Freq]]</f>
        <v>5895000000</v>
      </c>
      <c r="E132" s="2">
        <f>MIN(-90, -89-Masks[[#This Row],[f]]/(600000000*S_ch_us),-82-Masks[[#This Row],[f]]/(250000000*S_ch_us))-K_ch_UPSD_us</f>
        <v>-96.909400086720382</v>
      </c>
      <c r="F132" s="2">
        <f>MIN(-90, -89-Masks[[#This Row],[f]]/(600000000*S_ch_ds),-82-Masks[[#This Row],[f]]/(250000000*S_ch_ds))-K_ch_UPSD_ds</f>
        <v>-96.909400086720382</v>
      </c>
      <c r="G132">
        <f>-MAX(MIN(20,20-10*LOG10(2*Masks[[#This Row],[f]]/480000000)),12-3)</f>
        <v>-9</v>
      </c>
      <c r="H132">
        <f>-MAX(MIN(20,20-10*LOG10(2*Masks[[#This Row],[f]]/480000000)),12-3)</f>
        <v>-9</v>
      </c>
      <c r="I132">
        <f>10*LOG10(POWER(10,Tx_power_us/10)/F_Nyquist_us)+IF(Masks[[#This Row],[f]]&gt;F_Nyquist_us,-50)</f>
        <v>-98.470325397914564</v>
      </c>
      <c r="J132" s="3">
        <f>10*LOG10(POWER(10,Tx_power_ds/10)/F_Nyquist_ds)+IF(Masks[[#This Row],[f]]&gt;F_Nyquist_ds,-50)</f>
        <v>-98.470325397914564</v>
      </c>
      <c r="K132" s="1">
        <f>20*LOG10(ABS(SIN(PI()*Masks[[#This Row],[f]]/Config!$B$41/2000000000)/(PI()*Masks[[#This Row],[f]]/Config!$B$41/2000000000)))+Tx_power_us-10*LOG10(F_Nyquist_us)+1.11</f>
        <v>-100.0346442908442</v>
      </c>
      <c r="L132" s="1">
        <f>20*LOG10(ABS(SIN(PI()*Masks[[#This Row],[f]]/Config!$B$41/2000000000)/(PI()*Masks[[#This Row],[f]]/Config!$B$41/2000000000)))+Tx_power_ds-10*LOG10(F_Nyquist_ds)+1.11</f>
        <v>-100.0346442908442</v>
      </c>
      <c r="M132" s="1">
        <f>10*LOG10(1/(1+(Masks[[#This Row],[f]]/Config!$B$41/1000000000)^6))+Tx_power_us-10*LOG10(F_Nyquist_us)+0.45</f>
        <v>-99.314975802452963</v>
      </c>
      <c r="N132" s="1">
        <f>10*LOG10(1/(1+(Masks[[#This Row],[f]]/Config!$C$41/1000000000)^6))+Tx_power_ds-10*LOG10(F_Nyquist_ds)+0.45</f>
        <v>-99.314975802452963</v>
      </c>
      <c r="O132" s="3">
        <f>IF(Masks[[#This Row],[f]]&gt;F_Nyquist_us,0,1)</f>
        <v>1</v>
      </c>
      <c r="P132" s="3">
        <f>IF(Masks[[#This Row],[f]]&gt;F_Nyquist_ds,0,1)</f>
        <v>1</v>
      </c>
      <c r="Q132" s="2">
        <f>Config!B$40</f>
        <v>-41.640813746660612</v>
      </c>
      <c r="R132" s="3">
        <f>IF(Config!B$8&gt;0,10*LOG10($X$1*Masks[[#This Row],[f]]+Config!B$8*0.00073),-1000)</f>
        <v>-9.8659392707944278</v>
      </c>
      <c r="S132" s="3">
        <f>10*LOG10((10^(Masks[[#This Row],[wire_echo]]/10))+(10^(Masks[[#This Row],[connector_echo]]/10)))</f>
        <v>-9.8630542257150804</v>
      </c>
      <c r="T132" s="54"/>
      <c r="U132" s="54"/>
    </row>
    <row r="133" spans="1:21" x14ac:dyDescent="0.25">
      <c r="A133" s="2">
        <v>-100.0785105918421</v>
      </c>
      <c r="B133" s="2">
        <v>-100.0785105918421</v>
      </c>
      <c r="D133">
        <f>Calculate[[#This Row],[Freq]]</f>
        <v>5940000000</v>
      </c>
      <c r="E133" s="2">
        <f>MIN(-90, -89-Masks[[#This Row],[f]]/(600000000*S_ch_us),-82-Masks[[#This Row],[f]]/(250000000*S_ch_us))-K_ch_UPSD_us</f>
        <v>-96.939400086720369</v>
      </c>
      <c r="F133" s="2">
        <f>MIN(-90, -89-Masks[[#This Row],[f]]/(600000000*S_ch_ds),-82-Masks[[#This Row],[f]]/(250000000*S_ch_ds))-K_ch_UPSD_ds</f>
        <v>-96.939400086720369</v>
      </c>
      <c r="G133">
        <f>-MAX(MIN(20,20-10*LOG10(2*Masks[[#This Row],[f]]/480000000)),12-3)</f>
        <v>-9</v>
      </c>
      <c r="H133">
        <f>-MAX(MIN(20,20-10*LOG10(2*Masks[[#This Row],[f]]/480000000)),12-3)</f>
        <v>-9</v>
      </c>
      <c r="I133">
        <f>10*LOG10(POWER(10,Tx_power_us/10)/F_Nyquist_us)+IF(Masks[[#This Row],[f]]&gt;F_Nyquist_us,-50)</f>
        <v>-98.470325397914564</v>
      </c>
      <c r="J133" s="3">
        <f>10*LOG10(POWER(10,Tx_power_ds/10)/F_Nyquist_ds)+IF(Masks[[#This Row],[f]]&gt;F_Nyquist_ds,-50)</f>
        <v>-98.470325397914564</v>
      </c>
      <c r="K133" s="1">
        <f>20*LOG10(ABS(SIN(PI()*Masks[[#This Row],[f]]/Config!$B$41/2000000000)/(PI()*Masks[[#This Row],[f]]/Config!$B$41/2000000000)))+Tx_power_us-10*LOG10(F_Nyquist_us)+1.11</f>
        <v>-100.0785105918421</v>
      </c>
      <c r="L133" s="1">
        <f>20*LOG10(ABS(SIN(PI()*Masks[[#This Row],[f]]/Config!$B$41/2000000000)/(PI()*Masks[[#This Row],[f]]/Config!$B$41/2000000000)))+Tx_power_ds-10*LOG10(F_Nyquist_ds)+1.11</f>
        <v>-100.0785105918421</v>
      </c>
      <c r="M133" s="1">
        <f>10*LOG10(1/(1+(Masks[[#This Row],[f]]/Config!$B$41/1000000000)^6))+Tx_power_us-10*LOG10(F_Nyquist_us)+0.45</f>
        <v>-99.36692751674093</v>
      </c>
      <c r="N133" s="1">
        <f>10*LOG10(1/(1+(Masks[[#This Row],[f]]/Config!$C$41/1000000000)^6))+Tx_power_ds-10*LOG10(F_Nyquist_ds)+0.45</f>
        <v>-99.36692751674093</v>
      </c>
      <c r="O133" s="3">
        <f>IF(Masks[[#This Row],[f]]&gt;F_Nyquist_us,0,1)</f>
        <v>1</v>
      </c>
      <c r="P133" s="3">
        <f>IF(Masks[[#This Row],[f]]&gt;F_Nyquist_ds,0,1)</f>
        <v>1</v>
      </c>
      <c r="Q133" s="2">
        <f>Config!B$40</f>
        <v>-41.640813746660612</v>
      </c>
      <c r="R133" s="3">
        <f>IF(Config!B$8&gt;0,10*LOG10($X$1*Masks[[#This Row],[f]]+Config!B$8*0.00073),-1000)</f>
        <v>-9.8338445244282262</v>
      </c>
      <c r="S133" s="3">
        <f>10*LOG10((10^(Masks[[#This Row],[wire_echo]]/10))+(10^(Masks[[#This Row],[connector_echo]]/10)))</f>
        <v>-9.8309807144976773</v>
      </c>
      <c r="T133" s="54"/>
      <c r="U133" s="54"/>
    </row>
    <row r="134" spans="1:21" x14ac:dyDescent="0.25">
      <c r="A134" s="2">
        <v>-100.12281054387626</v>
      </c>
      <c r="B134" s="2">
        <v>-100.12281054387626</v>
      </c>
      <c r="D134">
        <f>Calculate[[#This Row],[Freq]]</f>
        <v>5985000000</v>
      </c>
      <c r="E134" s="2">
        <f>MIN(-90, -89-Masks[[#This Row],[f]]/(600000000*S_ch_us),-82-Masks[[#This Row],[f]]/(250000000*S_ch_us))-K_ch_UPSD_us</f>
        <v>-96.96940008672037</v>
      </c>
      <c r="F134" s="2">
        <f>MIN(-90, -89-Masks[[#This Row],[f]]/(600000000*S_ch_ds),-82-Masks[[#This Row],[f]]/(250000000*S_ch_ds))-K_ch_UPSD_ds</f>
        <v>-96.96940008672037</v>
      </c>
      <c r="G134">
        <f>-MAX(MIN(20,20-10*LOG10(2*Masks[[#This Row],[f]]/480000000)),12-3)</f>
        <v>-9</v>
      </c>
      <c r="H134">
        <f>-MAX(MIN(20,20-10*LOG10(2*Masks[[#This Row],[f]]/480000000)),12-3)</f>
        <v>-9</v>
      </c>
      <c r="I134">
        <f>10*LOG10(POWER(10,Tx_power_us/10)/F_Nyquist_us)+IF(Masks[[#This Row],[f]]&gt;F_Nyquist_us,-50)</f>
        <v>-98.470325397914564</v>
      </c>
      <c r="J134" s="3">
        <f>10*LOG10(POWER(10,Tx_power_ds/10)/F_Nyquist_ds)+IF(Masks[[#This Row],[f]]&gt;F_Nyquist_ds,-50)</f>
        <v>-98.470325397914564</v>
      </c>
      <c r="K134" s="1">
        <f>20*LOG10(ABS(SIN(PI()*Masks[[#This Row],[f]]/Config!$B$41/2000000000)/(PI()*Masks[[#This Row],[f]]/Config!$B$41/2000000000)))+Tx_power_us-10*LOG10(F_Nyquist_us)+1.11</f>
        <v>-100.12281054387626</v>
      </c>
      <c r="L134" s="1">
        <f>20*LOG10(ABS(SIN(PI()*Masks[[#This Row],[f]]/Config!$B$41/2000000000)/(PI()*Masks[[#This Row],[f]]/Config!$B$41/2000000000)))+Tx_power_ds-10*LOG10(F_Nyquist_ds)+1.11</f>
        <v>-100.12281054387626</v>
      </c>
      <c r="M134" s="1">
        <f>10*LOG10(1/(1+(Masks[[#This Row],[f]]/Config!$B$41/1000000000)^6))+Tx_power_us-10*LOG10(F_Nyquist_us)+0.45</f>
        <v>-99.42023486817223</v>
      </c>
      <c r="N134" s="1">
        <f>10*LOG10(1/(1+(Masks[[#This Row],[f]]/Config!$C$41/1000000000)^6))+Tx_power_ds-10*LOG10(F_Nyquist_ds)+0.45</f>
        <v>-99.42023486817223</v>
      </c>
      <c r="O134" s="3">
        <f>IF(Masks[[#This Row],[f]]&gt;F_Nyquist_us,0,1)</f>
        <v>1</v>
      </c>
      <c r="P134" s="3">
        <f>IF(Masks[[#This Row],[f]]&gt;F_Nyquist_ds,0,1)</f>
        <v>1</v>
      </c>
      <c r="Q134" s="2">
        <f>Config!B$40</f>
        <v>-41.640813746660612</v>
      </c>
      <c r="R134" s="3">
        <f>IF(Config!B$8&gt;0,10*LOG10($X$1*Masks[[#This Row],[f]]+Config!B$8*0.00073),-1000)</f>
        <v>-9.8019852221873567</v>
      </c>
      <c r="S134" s="3">
        <f>10*LOG10((10^(Masks[[#This Row],[wire_echo]]/10))+(10^(Masks[[#This Row],[connector_echo]]/10)))</f>
        <v>-9.799142337090343</v>
      </c>
      <c r="T134" s="54"/>
      <c r="U134" s="54"/>
    </row>
    <row r="135" spans="1:21" x14ac:dyDescent="0.25">
      <c r="A135" s="2">
        <v>-100.16754706435857</v>
      </c>
      <c r="B135" s="2">
        <v>-100.16754706435857</v>
      </c>
      <c r="D135">
        <f>Calculate[[#This Row],[Freq]]</f>
        <v>6030000000</v>
      </c>
      <c r="E135" s="2">
        <f>MIN(-90, -89-Masks[[#This Row],[f]]/(600000000*S_ch_us),-82-Masks[[#This Row],[f]]/(250000000*S_ch_us))-K_ch_UPSD_us</f>
        <v>-96.999400086720371</v>
      </c>
      <c r="F135" s="2">
        <f>MIN(-90, -89-Masks[[#This Row],[f]]/(600000000*S_ch_ds),-82-Masks[[#This Row],[f]]/(250000000*S_ch_ds))-K_ch_UPSD_ds</f>
        <v>-96.999400086720371</v>
      </c>
      <c r="G135">
        <f>-MAX(MIN(20,20-10*LOG10(2*Masks[[#This Row],[f]]/480000000)),12-3)</f>
        <v>-9</v>
      </c>
      <c r="H135">
        <f>-MAX(MIN(20,20-10*LOG10(2*Masks[[#This Row],[f]]/480000000)),12-3)</f>
        <v>-9</v>
      </c>
      <c r="I135">
        <f>10*LOG10(POWER(10,Tx_power_us/10)/F_Nyquist_us)+IF(Masks[[#This Row],[f]]&gt;F_Nyquist_us,-50)</f>
        <v>-98.470325397914564</v>
      </c>
      <c r="J135" s="3">
        <f>10*LOG10(POWER(10,Tx_power_ds/10)/F_Nyquist_ds)+IF(Masks[[#This Row],[f]]&gt;F_Nyquist_ds,-50)</f>
        <v>-98.470325397914564</v>
      </c>
      <c r="K135" s="1">
        <f>20*LOG10(ABS(SIN(PI()*Masks[[#This Row],[f]]/Config!$B$41/2000000000)/(PI()*Masks[[#This Row],[f]]/Config!$B$41/2000000000)))+Tx_power_us-10*LOG10(F_Nyquist_us)+1.11</f>
        <v>-100.16754706435857</v>
      </c>
      <c r="L135" s="1">
        <f>20*LOG10(ABS(SIN(PI()*Masks[[#This Row],[f]]/Config!$B$41/2000000000)/(PI()*Masks[[#This Row],[f]]/Config!$B$41/2000000000)))+Tx_power_ds-10*LOG10(F_Nyquist_ds)+1.11</f>
        <v>-100.16754706435857</v>
      </c>
      <c r="M135" s="1">
        <f>10*LOG10(1/(1+(Masks[[#This Row],[f]]/Config!$B$41/1000000000)^6))+Tx_power_us-10*LOG10(F_Nyquist_us)+0.45</f>
        <v>-99.474900571640589</v>
      </c>
      <c r="N135" s="1">
        <f>10*LOG10(1/(1+(Masks[[#This Row],[f]]/Config!$C$41/1000000000)^6))+Tx_power_ds-10*LOG10(F_Nyquist_ds)+0.45</f>
        <v>-99.474900571640589</v>
      </c>
      <c r="O135" s="3">
        <f>IF(Masks[[#This Row],[f]]&gt;F_Nyquist_us,0,1)</f>
        <v>1</v>
      </c>
      <c r="P135" s="3">
        <f>IF(Masks[[#This Row],[f]]&gt;F_Nyquist_ds,0,1)</f>
        <v>1</v>
      </c>
      <c r="Q135" s="2">
        <f>Config!B$40</f>
        <v>-41.640813746660612</v>
      </c>
      <c r="R135" s="3">
        <f>IF(Config!B$8&gt;0,10*LOG10($X$1*Masks[[#This Row],[f]]+Config!B$8*0.00073),-1000)</f>
        <v>-9.7703579348200726</v>
      </c>
      <c r="S135" s="3">
        <f>10*LOG10((10^(Masks[[#This Row],[wire_echo]]/10))+(10^(Masks[[#This Row],[connector_echo]]/10)))</f>
        <v>-9.7675356709940768</v>
      </c>
      <c r="T135" s="54"/>
      <c r="U135" s="54"/>
    </row>
    <row r="136" spans="1:21" x14ac:dyDescent="0.25">
      <c r="A136" s="2">
        <v>-100.21272312352988</v>
      </c>
      <c r="B136" s="2">
        <v>-100.21272312352988</v>
      </c>
      <c r="D136">
        <f>Calculate[[#This Row],[Freq]]</f>
        <v>6075000000</v>
      </c>
      <c r="E136" s="2">
        <f>MIN(-90, -89-Masks[[#This Row],[f]]/(600000000*S_ch_us),-82-Masks[[#This Row],[f]]/(250000000*S_ch_us))-K_ch_UPSD_us</f>
        <v>-97.029400086720372</v>
      </c>
      <c r="F136" s="2">
        <f>MIN(-90, -89-Masks[[#This Row],[f]]/(600000000*S_ch_ds),-82-Masks[[#This Row],[f]]/(250000000*S_ch_ds))-K_ch_UPSD_ds</f>
        <v>-97.029400086720372</v>
      </c>
      <c r="G136">
        <f>-MAX(MIN(20,20-10*LOG10(2*Masks[[#This Row],[f]]/480000000)),12-3)</f>
        <v>-9</v>
      </c>
      <c r="H136">
        <f>-MAX(MIN(20,20-10*LOG10(2*Masks[[#This Row],[f]]/480000000)),12-3)</f>
        <v>-9</v>
      </c>
      <c r="I136">
        <f>10*LOG10(POWER(10,Tx_power_us/10)/F_Nyquist_us)+IF(Masks[[#This Row],[f]]&gt;F_Nyquist_us,-50)</f>
        <v>-98.470325397914564</v>
      </c>
      <c r="J136" s="3">
        <f>10*LOG10(POWER(10,Tx_power_ds/10)/F_Nyquist_ds)+IF(Masks[[#This Row],[f]]&gt;F_Nyquist_ds,-50)</f>
        <v>-98.470325397914564</v>
      </c>
      <c r="K136" s="1">
        <f>20*LOG10(ABS(SIN(PI()*Masks[[#This Row],[f]]/Config!$B$41/2000000000)/(PI()*Masks[[#This Row],[f]]/Config!$B$41/2000000000)))+Tx_power_us-10*LOG10(F_Nyquist_us)+1.11</f>
        <v>-100.21272312352988</v>
      </c>
      <c r="L136" s="1">
        <f>20*LOG10(ABS(SIN(PI()*Masks[[#This Row],[f]]/Config!$B$41/2000000000)/(PI()*Masks[[#This Row],[f]]/Config!$B$41/2000000000)))+Tx_power_ds-10*LOG10(F_Nyquist_ds)+1.11</f>
        <v>-100.21272312352988</v>
      </c>
      <c r="M136" s="1">
        <f>10*LOG10(1/(1+(Masks[[#This Row],[f]]/Config!$B$41/1000000000)^6))+Tx_power_us-10*LOG10(F_Nyquist_us)+0.45</f>
        <v>-99.530925980368721</v>
      </c>
      <c r="N136" s="1">
        <f>10*LOG10(1/(1+(Masks[[#This Row],[f]]/Config!$C$41/1000000000)^6))+Tx_power_ds-10*LOG10(F_Nyquist_ds)+0.45</f>
        <v>-99.530925980368721</v>
      </c>
      <c r="O136" s="3">
        <f>IF(Masks[[#This Row],[f]]&gt;F_Nyquist_us,0,1)</f>
        <v>1</v>
      </c>
      <c r="P136" s="3">
        <f>IF(Masks[[#This Row],[f]]&gt;F_Nyquist_ds,0,1)</f>
        <v>1</v>
      </c>
      <c r="Q136" s="2">
        <f>Config!B$40</f>
        <v>-41.640813746660612</v>
      </c>
      <c r="R136" s="3">
        <f>IF(Config!B$8&gt;0,10*LOG10($X$1*Masks[[#This Row],[f]]+Config!B$8*0.00073),-1000)</f>
        <v>-9.7389593074540333</v>
      </c>
      <c r="S136" s="3">
        <f>10*LOG10((10^(Masks[[#This Row],[wire_echo]]/10))+(10^(Masks[[#This Row],[connector_echo]]/10)))</f>
        <v>-9.7361573678947675</v>
      </c>
      <c r="T136" s="54"/>
      <c r="U136" s="54"/>
    </row>
    <row r="137" spans="1:21" x14ac:dyDescent="0.25">
      <c r="A137" s="2">
        <v>-100.25834174558979</v>
      </c>
      <c r="B137" s="2">
        <v>-100.25834174558979</v>
      </c>
      <c r="D137">
        <f>Calculate[[#This Row],[Freq]]</f>
        <v>6120000000</v>
      </c>
      <c r="E137" s="2">
        <f>MIN(-90, -89-Masks[[#This Row],[f]]/(600000000*S_ch_us),-82-Masks[[#This Row],[f]]/(250000000*S_ch_us))-K_ch_UPSD_us</f>
        <v>-97.059400086720373</v>
      </c>
      <c r="F137" s="2">
        <f>MIN(-90, -89-Masks[[#This Row],[f]]/(600000000*S_ch_ds),-82-Masks[[#This Row],[f]]/(250000000*S_ch_ds))-K_ch_UPSD_ds</f>
        <v>-97.059400086720373</v>
      </c>
      <c r="G137">
        <f>-MAX(MIN(20,20-10*LOG10(2*Masks[[#This Row],[f]]/480000000)),12-3)</f>
        <v>-9</v>
      </c>
      <c r="H137">
        <f>-MAX(MIN(20,20-10*LOG10(2*Masks[[#This Row],[f]]/480000000)),12-3)</f>
        <v>-9</v>
      </c>
      <c r="I137">
        <f>10*LOG10(POWER(10,Tx_power_us/10)/F_Nyquist_us)+IF(Masks[[#This Row],[f]]&gt;F_Nyquist_us,-50)</f>
        <v>-98.470325397914564</v>
      </c>
      <c r="J137" s="3">
        <f>10*LOG10(POWER(10,Tx_power_ds/10)/F_Nyquist_ds)+IF(Masks[[#This Row],[f]]&gt;F_Nyquist_ds,-50)</f>
        <v>-98.470325397914564</v>
      </c>
      <c r="K137" s="1">
        <f>20*LOG10(ABS(SIN(PI()*Masks[[#This Row],[f]]/Config!$B$41/2000000000)/(PI()*Masks[[#This Row],[f]]/Config!$B$41/2000000000)))+Tx_power_us-10*LOG10(F_Nyquist_us)+1.11</f>
        <v>-100.25834174558979</v>
      </c>
      <c r="L137" s="1">
        <f>20*LOG10(ABS(SIN(PI()*Masks[[#This Row],[f]]/Config!$B$41/2000000000)/(PI()*Masks[[#This Row],[f]]/Config!$B$41/2000000000)))+Tx_power_ds-10*LOG10(F_Nyquist_ds)+1.11</f>
        <v>-100.25834174558979</v>
      </c>
      <c r="M137" s="1">
        <f>10*LOG10(1/(1+(Masks[[#This Row],[f]]/Config!$B$41/1000000000)^6))+Tx_power_us-10*LOG10(F_Nyquist_us)+0.45</f>
        <v>-99.588311077425615</v>
      </c>
      <c r="N137" s="1">
        <f>10*LOG10(1/(1+(Masks[[#This Row],[f]]/Config!$C$41/1000000000)^6))+Tx_power_ds-10*LOG10(F_Nyquist_ds)+0.45</f>
        <v>-99.588311077425615</v>
      </c>
      <c r="O137" s="3">
        <f>IF(Masks[[#This Row],[f]]&gt;F_Nyquist_us,0,1)</f>
        <v>1</v>
      </c>
      <c r="P137" s="3">
        <f>IF(Masks[[#This Row],[f]]&gt;F_Nyquist_ds,0,1)</f>
        <v>1</v>
      </c>
      <c r="Q137" s="2">
        <f>Config!B$40</f>
        <v>-41.640813746660612</v>
      </c>
      <c r="R137" s="3">
        <f>IF(Config!B$8&gt;0,10*LOG10($X$1*Masks[[#This Row],[f]]+Config!B$8*0.00073),-1000)</f>
        <v>-9.7077860574607193</v>
      </c>
      <c r="S137" s="3">
        <f>10*LOG10((10^(Masks[[#This Row],[wire_echo]]/10))+(10^(Masks[[#This Row],[connector_echo]]/10)))</f>
        <v>-9.7050041515345633</v>
      </c>
      <c r="T137" s="54"/>
      <c r="U137" s="54"/>
    </row>
    <row r="138" spans="1:21" x14ac:dyDescent="0.25">
      <c r="A138" s="2">
        <v>-100.30440600985889</v>
      </c>
      <c r="B138" s="2">
        <v>-100.30440600985889</v>
      </c>
      <c r="D138">
        <f>Calculate[[#This Row],[Freq]]</f>
        <v>6165000000</v>
      </c>
      <c r="E138" s="2">
        <f>MIN(-90, -89-Masks[[#This Row],[f]]/(600000000*S_ch_us),-82-Masks[[#This Row],[f]]/(250000000*S_ch_us))-K_ch_UPSD_us</f>
        <v>-97.089400086720374</v>
      </c>
      <c r="F138" s="2">
        <f>MIN(-90, -89-Masks[[#This Row],[f]]/(600000000*S_ch_ds),-82-Masks[[#This Row],[f]]/(250000000*S_ch_ds))-K_ch_UPSD_ds</f>
        <v>-97.089400086720374</v>
      </c>
      <c r="G138">
        <f>-MAX(MIN(20,20-10*LOG10(2*Masks[[#This Row],[f]]/480000000)),12-3)</f>
        <v>-9</v>
      </c>
      <c r="H138">
        <f>-MAX(MIN(20,20-10*LOG10(2*Masks[[#This Row],[f]]/480000000)),12-3)</f>
        <v>-9</v>
      </c>
      <c r="I138">
        <f>10*LOG10(POWER(10,Tx_power_us/10)/F_Nyquist_us)+IF(Masks[[#This Row],[f]]&gt;F_Nyquist_us,-50)</f>
        <v>-98.470325397914564</v>
      </c>
      <c r="J138" s="3">
        <f>10*LOG10(POWER(10,Tx_power_ds/10)/F_Nyquist_ds)+IF(Masks[[#This Row],[f]]&gt;F_Nyquist_ds,-50)</f>
        <v>-98.470325397914564</v>
      </c>
      <c r="K138" s="1">
        <f>20*LOG10(ABS(SIN(PI()*Masks[[#This Row],[f]]/Config!$B$41/2000000000)/(PI()*Masks[[#This Row],[f]]/Config!$B$41/2000000000)))+Tx_power_us-10*LOG10(F_Nyquist_us)+1.11</f>
        <v>-100.30440600985889</v>
      </c>
      <c r="L138" s="1">
        <f>20*LOG10(ABS(SIN(PI()*Masks[[#This Row],[f]]/Config!$B$41/2000000000)/(PI()*Masks[[#This Row],[f]]/Config!$B$41/2000000000)))+Tx_power_ds-10*LOG10(F_Nyquist_ds)+1.11</f>
        <v>-100.30440600985889</v>
      </c>
      <c r="M138" s="1">
        <f>10*LOG10(1/(1+(Masks[[#This Row],[f]]/Config!$B$41/1000000000)^6))+Tx_power_us-10*LOG10(F_Nyquist_us)+0.45</f>
        <v>-99.647054471787072</v>
      </c>
      <c r="N138" s="1">
        <f>10*LOG10(1/(1+(Masks[[#This Row],[f]]/Config!$C$41/1000000000)^6))+Tx_power_ds-10*LOG10(F_Nyquist_ds)+0.45</f>
        <v>-99.647054471787072</v>
      </c>
      <c r="O138" s="3">
        <f>IF(Masks[[#This Row],[f]]&gt;F_Nyquist_us,0,1)</f>
        <v>1</v>
      </c>
      <c r="P138" s="3">
        <f>IF(Masks[[#This Row],[f]]&gt;F_Nyquist_ds,0,1)</f>
        <v>1</v>
      </c>
      <c r="Q138" s="2">
        <f>Config!B$40</f>
        <v>-41.640813746660612</v>
      </c>
      <c r="R138" s="3">
        <f>IF(Config!B$8&gt;0,10*LOG10($X$1*Masks[[#This Row],[f]]+Config!B$8*0.00073),-1000)</f>
        <v>-9.6768349723959464</v>
      </c>
      <c r="S138" s="3">
        <f>10*LOG10((10^(Masks[[#This Row],[wire_echo]]/10))+(10^(Masks[[#This Row],[connector_echo]]/10)))</f>
        <v>-9.6740728156590468</v>
      </c>
      <c r="T138" s="54"/>
      <c r="U138" s="54"/>
    </row>
    <row r="139" spans="1:21" x14ac:dyDescent="0.25">
      <c r="A139" s="2">
        <v>-100.35091905197467</v>
      </c>
      <c r="B139" s="2">
        <v>-100.35091905197467</v>
      </c>
      <c r="D139">
        <f>Calculate[[#This Row],[Freq]]</f>
        <v>6210000000</v>
      </c>
      <c r="E139" s="2">
        <f>MIN(-90, -89-Masks[[#This Row],[f]]/(600000000*S_ch_us),-82-Masks[[#This Row],[f]]/(250000000*S_ch_us))-K_ch_UPSD_us</f>
        <v>-97.119400086720375</v>
      </c>
      <c r="F139" s="2">
        <f>MIN(-90, -89-Masks[[#This Row],[f]]/(600000000*S_ch_ds),-82-Masks[[#This Row],[f]]/(250000000*S_ch_ds))-K_ch_UPSD_ds</f>
        <v>-97.119400086720375</v>
      </c>
      <c r="G139">
        <f>-MAX(MIN(20,20-10*LOG10(2*Masks[[#This Row],[f]]/480000000)),12-3)</f>
        <v>-9</v>
      </c>
      <c r="H139">
        <f>-MAX(MIN(20,20-10*LOG10(2*Masks[[#This Row],[f]]/480000000)),12-3)</f>
        <v>-9</v>
      </c>
      <c r="I139">
        <f>10*LOG10(POWER(10,Tx_power_us/10)/F_Nyquist_us)+IF(Masks[[#This Row],[f]]&gt;F_Nyquist_us,-50)</f>
        <v>-98.470325397914564</v>
      </c>
      <c r="J139" s="3">
        <f>10*LOG10(POWER(10,Tx_power_ds/10)/F_Nyquist_ds)+IF(Masks[[#This Row],[f]]&gt;F_Nyquist_ds,-50)</f>
        <v>-98.470325397914564</v>
      </c>
      <c r="K139" s="1">
        <f>20*LOG10(ABS(SIN(PI()*Masks[[#This Row],[f]]/Config!$B$41/2000000000)/(PI()*Masks[[#This Row],[f]]/Config!$B$41/2000000000)))+Tx_power_us-10*LOG10(F_Nyquist_us)+1.11</f>
        <v>-100.35091905197467</v>
      </c>
      <c r="L139" s="1">
        <f>20*LOG10(ABS(SIN(PI()*Masks[[#This Row],[f]]/Config!$B$41/2000000000)/(PI()*Masks[[#This Row],[f]]/Config!$B$41/2000000000)))+Tx_power_ds-10*LOG10(F_Nyquist_ds)+1.11</f>
        <v>-100.35091905197467</v>
      </c>
      <c r="M139" s="1">
        <f>10*LOG10(1/(1+(Masks[[#This Row],[f]]/Config!$B$41/1000000000)^6))+Tx_power_us-10*LOG10(F_Nyquist_us)+0.45</f>
        <v>-99.707153398965445</v>
      </c>
      <c r="N139" s="1">
        <f>10*LOG10(1/(1+(Masks[[#This Row],[f]]/Config!$C$41/1000000000)^6))+Tx_power_ds-10*LOG10(F_Nyquist_ds)+0.45</f>
        <v>-99.707153398965445</v>
      </c>
      <c r="O139" s="3">
        <f>IF(Masks[[#This Row],[f]]&gt;F_Nyquist_us,0,1)</f>
        <v>1</v>
      </c>
      <c r="P139" s="3">
        <f>IF(Masks[[#This Row],[f]]&gt;F_Nyquist_ds,0,1)</f>
        <v>1</v>
      </c>
      <c r="Q139" s="2">
        <f>Config!B$40</f>
        <v>-41.640813746660612</v>
      </c>
      <c r="R139" s="3">
        <f>IF(Config!B$8&gt;0,10*LOG10($X$1*Masks[[#This Row],[f]]+Config!B$8*0.00073),-1000)</f>
        <v>-9.6461029080132299</v>
      </c>
      <c r="S139" s="3">
        <f>10*LOG10((10^(Masks[[#This Row],[wire_echo]]/10))+(10^(Masks[[#This Row],[connector_echo]]/10)))</f>
        <v>-9.6433602220369625</v>
      </c>
      <c r="T139" s="54"/>
      <c r="U139" s="54"/>
    </row>
    <row r="140" spans="1:21" x14ac:dyDescent="0.25">
      <c r="A140" s="2">
        <v>-100.39788406512194</v>
      </c>
      <c r="B140" s="2">
        <v>-100.39788406512194</v>
      </c>
      <c r="D140">
        <f>Calculate[[#This Row],[Freq]]</f>
        <v>6255000000</v>
      </c>
      <c r="E140" s="2">
        <f>MIN(-90, -89-Masks[[#This Row],[f]]/(600000000*S_ch_us),-82-Masks[[#This Row],[f]]/(250000000*S_ch_us))-K_ch_UPSD_us</f>
        <v>-97.149400086720377</v>
      </c>
      <c r="F140" s="2">
        <f>MIN(-90, -89-Masks[[#This Row],[f]]/(600000000*S_ch_ds),-82-Masks[[#This Row],[f]]/(250000000*S_ch_ds))-K_ch_UPSD_ds</f>
        <v>-97.149400086720377</v>
      </c>
      <c r="G140">
        <f>-MAX(MIN(20,20-10*LOG10(2*Masks[[#This Row],[f]]/480000000)),12-3)</f>
        <v>-9</v>
      </c>
      <c r="H140">
        <f>-MAX(MIN(20,20-10*LOG10(2*Masks[[#This Row],[f]]/480000000)),12-3)</f>
        <v>-9</v>
      </c>
      <c r="I140">
        <f>10*LOG10(POWER(10,Tx_power_us/10)/F_Nyquist_us)+IF(Masks[[#This Row],[f]]&gt;F_Nyquist_us,-50)</f>
        <v>-98.470325397914564</v>
      </c>
      <c r="J140" s="3">
        <f>10*LOG10(POWER(10,Tx_power_ds/10)/F_Nyquist_ds)+IF(Masks[[#This Row],[f]]&gt;F_Nyquist_ds,-50)</f>
        <v>-98.470325397914564</v>
      </c>
      <c r="K140" s="1">
        <f>20*LOG10(ABS(SIN(PI()*Masks[[#This Row],[f]]/Config!$B$41/2000000000)/(PI()*Masks[[#This Row],[f]]/Config!$B$41/2000000000)))+Tx_power_us-10*LOG10(F_Nyquist_us)+1.11</f>
        <v>-100.39788406512194</v>
      </c>
      <c r="L140" s="1">
        <f>20*LOG10(ABS(SIN(PI()*Masks[[#This Row],[f]]/Config!$B$41/2000000000)/(PI()*Masks[[#This Row],[f]]/Config!$B$41/2000000000)))+Tx_power_ds-10*LOG10(F_Nyquist_ds)+1.11</f>
        <v>-100.39788406512194</v>
      </c>
      <c r="M140" s="1">
        <f>10*LOG10(1/(1+(Masks[[#This Row],[f]]/Config!$B$41/1000000000)^6))+Tx_power_us-10*LOG10(F_Nyquist_us)+0.45</f>
        <v>-99.76860372620321</v>
      </c>
      <c r="N140" s="1">
        <f>10*LOG10(1/(1+(Masks[[#This Row],[f]]/Config!$C$41/1000000000)^6))+Tx_power_ds-10*LOG10(F_Nyquist_ds)+0.45</f>
        <v>-99.76860372620321</v>
      </c>
      <c r="O140" s="3">
        <f>IF(Masks[[#This Row],[f]]&gt;F_Nyquist_us,0,1)</f>
        <v>1</v>
      </c>
      <c r="P140" s="3">
        <f>IF(Masks[[#This Row],[f]]&gt;F_Nyquist_ds,0,1)</f>
        <v>1</v>
      </c>
      <c r="Q140" s="2">
        <f>Config!B$40</f>
        <v>-41.640813746660612</v>
      </c>
      <c r="R140" s="3">
        <f>IF(Config!B$8&gt;0,10*LOG10($X$1*Masks[[#This Row],[f]]+Config!B$8*0.00073),-1000)</f>
        <v>-9.6155867863469755</v>
      </c>
      <c r="S140" s="3">
        <f>10*LOG10((10^(Masks[[#This Row],[wire_echo]]/10))+(10^(Masks[[#This Row],[connector_echo]]/10)))</f>
        <v>-9.6128632985495273</v>
      </c>
      <c r="T140" s="54"/>
      <c r="U140" s="54"/>
    </row>
    <row r="141" spans="1:21" x14ac:dyDescent="0.25">
      <c r="A141" s="2">
        <v>-100.44530430129929</v>
      </c>
      <c r="B141" s="2">
        <v>-100.44530430129929</v>
      </c>
      <c r="D141">
        <f>Calculate[[#This Row],[Freq]]</f>
        <v>6300000000</v>
      </c>
      <c r="E141" s="2">
        <f>MIN(-90, -89-Masks[[#This Row],[f]]/(600000000*S_ch_us),-82-Masks[[#This Row],[f]]/(250000000*S_ch_us))-K_ch_UPSD_us</f>
        <v>-97.179400086720378</v>
      </c>
      <c r="F141" s="2">
        <f>MIN(-90, -89-Masks[[#This Row],[f]]/(600000000*S_ch_ds),-82-Masks[[#This Row],[f]]/(250000000*S_ch_ds))-K_ch_UPSD_ds</f>
        <v>-97.179400086720378</v>
      </c>
      <c r="G141">
        <f>-MAX(MIN(20,20-10*LOG10(2*Masks[[#This Row],[f]]/480000000)),12-3)</f>
        <v>-9</v>
      </c>
      <c r="H141">
        <f>-MAX(MIN(20,20-10*LOG10(2*Masks[[#This Row],[f]]/480000000)),12-3)</f>
        <v>-9</v>
      </c>
      <c r="I141">
        <f>10*LOG10(POWER(10,Tx_power_us/10)/F_Nyquist_us)+IF(Masks[[#This Row],[f]]&gt;F_Nyquist_us,-50)</f>
        <v>-98.470325397914564</v>
      </c>
      <c r="J141" s="3">
        <f>10*LOG10(POWER(10,Tx_power_ds/10)/F_Nyquist_ds)+IF(Masks[[#This Row],[f]]&gt;F_Nyquist_ds,-50)</f>
        <v>-98.470325397914564</v>
      </c>
      <c r="K141" s="1">
        <f>20*LOG10(ABS(SIN(PI()*Masks[[#This Row],[f]]/Config!$B$41/2000000000)/(PI()*Masks[[#This Row],[f]]/Config!$B$41/2000000000)))+Tx_power_us-10*LOG10(F_Nyquist_us)+1.11</f>
        <v>-100.44530430129929</v>
      </c>
      <c r="L141" s="1">
        <f>20*LOG10(ABS(SIN(PI()*Masks[[#This Row],[f]]/Config!$B$41/2000000000)/(PI()*Masks[[#This Row],[f]]/Config!$B$41/2000000000)))+Tx_power_ds-10*LOG10(F_Nyquist_ds)+1.11</f>
        <v>-100.44530430129929</v>
      </c>
      <c r="M141" s="1">
        <f>10*LOG10(1/(1+(Masks[[#This Row],[f]]/Config!$B$41/1000000000)^6))+Tx_power_us-10*LOG10(F_Nyquist_us)+0.45</f>
        <v>-99.831399962193487</v>
      </c>
      <c r="N141" s="1">
        <f>10*LOG10(1/(1+(Masks[[#This Row],[f]]/Config!$C$41/1000000000)^6))+Tx_power_ds-10*LOG10(F_Nyquist_ds)+0.45</f>
        <v>-99.831399962193487</v>
      </c>
      <c r="O141" s="3">
        <f>IF(Masks[[#This Row],[f]]&gt;F_Nyquist_us,0,1)</f>
        <v>1</v>
      </c>
      <c r="P141" s="3">
        <f>IF(Masks[[#This Row],[f]]&gt;F_Nyquist_ds,0,1)</f>
        <v>1</v>
      </c>
      <c r="Q141" s="2">
        <f>Config!B$40</f>
        <v>-41.640813746660612</v>
      </c>
      <c r="R141" s="3">
        <f>IF(Config!B$8&gt;0,10*LOG10($X$1*Masks[[#This Row],[f]]+Config!B$8*0.00073),-1000)</f>
        <v>-9.5852835938625276</v>
      </c>
      <c r="S141" s="3">
        <f>10*LOG10((10^(Masks[[#This Row],[wire_echo]]/10))+(10^(Masks[[#This Row],[connector_echo]]/10)))</f>
        <v>-9.5825790373463313</v>
      </c>
      <c r="T141" s="54"/>
      <c r="U141" s="54"/>
    </row>
    <row r="142" spans="1:21" x14ac:dyDescent="0.25">
      <c r="A142" s="2">
        <v>-100.49318307262268</v>
      </c>
      <c r="B142" s="2">
        <v>-100.49318307262268</v>
      </c>
      <c r="D142">
        <f>Calculate[[#This Row],[Freq]]</f>
        <v>6345000000</v>
      </c>
      <c r="E142" s="2">
        <f>MIN(-90, -89-Masks[[#This Row],[f]]/(600000000*S_ch_us),-82-Masks[[#This Row],[f]]/(250000000*S_ch_us))-K_ch_UPSD_us</f>
        <v>-97.209400086720379</v>
      </c>
      <c r="F142" s="2">
        <f>MIN(-90, -89-Masks[[#This Row],[f]]/(600000000*S_ch_ds),-82-Masks[[#This Row],[f]]/(250000000*S_ch_ds))-K_ch_UPSD_ds</f>
        <v>-97.209400086720379</v>
      </c>
      <c r="G142">
        <f>-MAX(MIN(20,20-10*LOG10(2*Masks[[#This Row],[f]]/480000000)),12-3)</f>
        <v>-9</v>
      </c>
      <c r="H142">
        <f>-MAX(MIN(20,20-10*LOG10(2*Masks[[#This Row],[f]]/480000000)),12-3)</f>
        <v>-9</v>
      </c>
      <c r="I142">
        <f>10*LOG10(POWER(10,Tx_power_us/10)/F_Nyquist_us)+IF(Masks[[#This Row],[f]]&gt;F_Nyquist_us,-50)</f>
        <v>-98.470325397914564</v>
      </c>
      <c r="J142" s="3">
        <f>10*LOG10(POWER(10,Tx_power_ds/10)/F_Nyquist_ds)+IF(Masks[[#This Row],[f]]&gt;F_Nyquist_ds,-50)</f>
        <v>-98.470325397914564</v>
      </c>
      <c r="K142" s="1">
        <f>20*LOG10(ABS(SIN(PI()*Masks[[#This Row],[f]]/Config!$B$41/2000000000)/(PI()*Masks[[#This Row],[f]]/Config!$B$41/2000000000)))+Tx_power_us-10*LOG10(F_Nyquist_us)+1.11</f>
        <v>-100.49318307262268</v>
      </c>
      <c r="L142" s="1">
        <f>20*LOG10(ABS(SIN(PI()*Masks[[#This Row],[f]]/Config!$B$41/2000000000)/(PI()*Masks[[#This Row],[f]]/Config!$B$41/2000000000)))+Tx_power_ds-10*LOG10(F_Nyquist_ds)+1.11</f>
        <v>-100.49318307262268</v>
      </c>
      <c r="M142" s="1">
        <f>10*LOG10(1/(1+(Masks[[#This Row],[f]]/Config!$B$41/1000000000)^6))+Tx_power_us-10*LOG10(F_Nyquist_us)+0.45</f>
        <v>-99.895535271260073</v>
      </c>
      <c r="N142" s="1">
        <f>10*LOG10(1/(1+(Masks[[#This Row],[f]]/Config!$C$41/1000000000)^6))+Tx_power_ds-10*LOG10(F_Nyquist_ds)+0.45</f>
        <v>-99.895535271260073</v>
      </c>
      <c r="O142" s="3">
        <f>IF(Masks[[#This Row],[f]]&gt;F_Nyquist_us,0,1)</f>
        <v>1</v>
      </c>
      <c r="P142" s="3">
        <f>IF(Masks[[#This Row],[f]]&gt;F_Nyquist_ds,0,1)</f>
        <v>1</v>
      </c>
      <c r="Q142" s="2">
        <f>Config!B$40</f>
        <v>-41.640813746660612</v>
      </c>
      <c r="R142" s="3">
        <f>IF(Config!B$8&gt;0,10*LOG10($X$1*Masks[[#This Row],[f]]+Config!B$8*0.00073),-1000)</f>
        <v>-9.5551903796703126</v>
      </c>
      <c r="S142" s="3">
        <f>10*LOG10((10^(Masks[[#This Row],[wire_echo]]/10))+(10^(Masks[[#This Row],[connector_echo]]/10)))</f>
        <v>-9.5525044930650846</v>
      </c>
      <c r="T142" s="54"/>
      <c r="U142" s="54"/>
    </row>
    <row r="143" spans="1:21" x14ac:dyDescent="0.25">
      <c r="A143" s="2">
        <v>-100.54152375266744</v>
      </c>
      <c r="B143" s="2">
        <v>-100.54152375266744</v>
      </c>
      <c r="D143">
        <f>Calculate[[#This Row],[Freq]]</f>
        <v>6390000000</v>
      </c>
      <c r="E143" s="2">
        <f>MIN(-90, -89-Masks[[#This Row],[f]]/(600000000*S_ch_us),-82-Masks[[#This Row],[f]]/(250000000*S_ch_us))-K_ch_UPSD_us</f>
        <v>-97.23940008672038</v>
      </c>
      <c r="F143" s="2">
        <f>MIN(-90, -89-Masks[[#This Row],[f]]/(600000000*S_ch_ds),-82-Masks[[#This Row],[f]]/(250000000*S_ch_ds))-K_ch_UPSD_ds</f>
        <v>-97.23940008672038</v>
      </c>
      <c r="G143">
        <f>-MAX(MIN(20,20-10*LOG10(2*Masks[[#This Row],[f]]/480000000)),12-3)</f>
        <v>-9</v>
      </c>
      <c r="H143">
        <f>-MAX(MIN(20,20-10*LOG10(2*Masks[[#This Row],[f]]/480000000)),12-3)</f>
        <v>-9</v>
      </c>
      <c r="I143">
        <f>10*LOG10(POWER(10,Tx_power_us/10)/F_Nyquist_us)+IF(Masks[[#This Row],[f]]&gt;F_Nyquist_us,-50)</f>
        <v>-98.470325397914564</v>
      </c>
      <c r="J143" s="3">
        <f>10*LOG10(POWER(10,Tx_power_ds/10)/F_Nyquist_ds)+IF(Masks[[#This Row],[f]]&gt;F_Nyquist_ds,-50)</f>
        <v>-98.470325397914564</v>
      </c>
      <c r="K143" s="1">
        <f>20*LOG10(ABS(SIN(PI()*Masks[[#This Row],[f]]/Config!$B$41/2000000000)/(PI()*Masks[[#This Row],[f]]/Config!$B$41/2000000000)))+Tx_power_us-10*LOG10(F_Nyquist_us)+1.11</f>
        <v>-100.54152375266744</v>
      </c>
      <c r="L143" s="1">
        <f>20*LOG10(ABS(SIN(PI()*Masks[[#This Row],[f]]/Config!$B$41/2000000000)/(PI()*Masks[[#This Row],[f]]/Config!$B$41/2000000000)))+Tx_power_ds-10*LOG10(F_Nyquist_ds)+1.11</f>
        <v>-100.54152375266744</v>
      </c>
      <c r="M143" s="1">
        <f>10*LOG10(1/(1+(Masks[[#This Row],[f]]/Config!$B$41/1000000000)^6))+Tx_power_us-10*LOG10(F_Nyquist_us)+0.45</f>
        <v>-99.961001491898884</v>
      </c>
      <c r="N143" s="1">
        <f>10*LOG10(1/(1+(Masks[[#This Row],[f]]/Config!$C$41/1000000000)^6))+Tx_power_ds-10*LOG10(F_Nyquist_ds)+0.45</f>
        <v>-99.961001491898884</v>
      </c>
      <c r="O143" s="3">
        <f>IF(Masks[[#This Row],[f]]&gt;F_Nyquist_us,0,1)</f>
        <v>1</v>
      </c>
      <c r="P143" s="3">
        <f>IF(Masks[[#This Row],[f]]&gt;F_Nyquist_ds,0,1)</f>
        <v>1</v>
      </c>
      <c r="Q143" s="2">
        <f>Config!B$40</f>
        <v>-41.640813746660612</v>
      </c>
      <c r="R143" s="3">
        <f>IF(Config!B$8&gt;0,10*LOG10($X$1*Masks[[#This Row],[f]]+Config!B$8*0.00073),-1000)</f>
        <v>-9.5253042538014334</v>
      </c>
      <c r="S143" s="3">
        <f>10*LOG10((10^(Masks[[#This Row],[wire_echo]]/10))+(10^(Masks[[#This Row],[connector_echo]]/10)))</f>
        <v>-9.5226367811126096</v>
      </c>
      <c r="T143" s="54"/>
      <c r="U143" s="54"/>
    </row>
    <row r="144" spans="1:21" x14ac:dyDescent="0.25">
      <c r="A144" s="2">
        <v>-100.59032977785002</v>
      </c>
      <c r="B144" s="2">
        <v>-100.59032977785002</v>
      </c>
      <c r="D144">
        <f>Calculate[[#This Row],[Freq]]</f>
        <v>6435000000</v>
      </c>
      <c r="E144" s="2">
        <f>MIN(-90, -89-Masks[[#This Row],[f]]/(600000000*S_ch_us),-82-Masks[[#This Row],[f]]/(250000000*S_ch_us))-K_ch_UPSD_us</f>
        <v>-97.269400086720381</v>
      </c>
      <c r="F144" s="2">
        <f>MIN(-90, -89-Masks[[#This Row],[f]]/(600000000*S_ch_ds),-82-Masks[[#This Row],[f]]/(250000000*S_ch_ds))-K_ch_UPSD_ds</f>
        <v>-97.269400086720381</v>
      </c>
      <c r="G144">
        <f>-MAX(MIN(20,20-10*LOG10(2*Masks[[#This Row],[f]]/480000000)),12-3)</f>
        <v>-9</v>
      </c>
      <c r="H144">
        <f>-MAX(MIN(20,20-10*LOG10(2*Masks[[#This Row],[f]]/480000000)),12-3)</f>
        <v>-9</v>
      </c>
      <c r="I144">
        <f>10*LOG10(POWER(10,Tx_power_us/10)/F_Nyquist_us)+IF(Masks[[#This Row],[f]]&gt;F_Nyquist_us,-50)</f>
        <v>-98.470325397914564</v>
      </c>
      <c r="J144" s="3">
        <f>10*LOG10(POWER(10,Tx_power_ds/10)/F_Nyquist_ds)+IF(Masks[[#This Row],[f]]&gt;F_Nyquist_ds,-50)</f>
        <v>-98.470325397914564</v>
      </c>
      <c r="K144" s="1">
        <f>20*LOG10(ABS(SIN(PI()*Masks[[#This Row],[f]]/Config!$B$41/2000000000)/(PI()*Masks[[#This Row],[f]]/Config!$B$41/2000000000)))+Tx_power_us-10*LOG10(F_Nyquist_us)+1.11</f>
        <v>-100.59032977785002</v>
      </c>
      <c r="L144" s="1">
        <f>20*LOG10(ABS(SIN(PI()*Masks[[#This Row],[f]]/Config!$B$41/2000000000)/(PI()*Masks[[#This Row],[f]]/Config!$B$41/2000000000)))+Tx_power_ds-10*LOG10(F_Nyquist_ds)+1.11</f>
        <v>-100.59032977785002</v>
      </c>
      <c r="M144" s="1">
        <f>10*LOG10(1/(1+(Masks[[#This Row],[f]]/Config!$B$41/1000000000)^6))+Tx_power_us-10*LOG10(F_Nyquist_us)+0.45</f>
        <v>-100.02778915955443</v>
      </c>
      <c r="N144" s="1">
        <f>10*LOG10(1/(1+(Masks[[#This Row],[f]]/Config!$C$41/1000000000)^6))+Tx_power_ds-10*LOG10(F_Nyquist_ds)+0.45</f>
        <v>-100.02778915955443</v>
      </c>
      <c r="O144" s="3">
        <f>IF(Masks[[#This Row],[f]]&gt;F_Nyquist_us,0,1)</f>
        <v>1</v>
      </c>
      <c r="P144" s="3">
        <f>IF(Masks[[#This Row],[f]]&gt;F_Nyquist_ds,0,1)</f>
        <v>1</v>
      </c>
      <c r="Q144" s="2">
        <f>Config!B$40</f>
        <v>-41.640813746660612</v>
      </c>
      <c r="R144" s="3">
        <f>IF(Config!B$8&gt;0,10*LOG10($X$1*Masks[[#This Row],[f]]+Config!B$8*0.00073),-1000)</f>
        <v>-9.4956223855422035</v>
      </c>
      <c r="S144" s="3">
        <f>10*LOG10((10^(Masks[[#This Row],[wire_echo]]/10))+(10^(Masks[[#This Row],[connector_echo]]/10)))</f>
        <v>-9.4929730760045103</v>
      </c>
      <c r="T144" s="54"/>
      <c r="U144" s="54"/>
    </row>
    <row r="145" spans="1:21" x14ac:dyDescent="0.25">
      <c r="A145" s="2">
        <v>-100.63960464885101</v>
      </c>
      <c r="B145" s="2">
        <v>-100.63960464885101</v>
      </c>
      <c r="D145">
        <f>Calculate[[#This Row],[Freq]]</f>
        <v>6480000000</v>
      </c>
      <c r="E145" s="2">
        <f>MIN(-90, -89-Masks[[#This Row],[f]]/(600000000*S_ch_us),-82-Masks[[#This Row],[f]]/(250000000*S_ch_us))-K_ch_UPSD_us</f>
        <v>-97.299400086720368</v>
      </c>
      <c r="F145" s="2">
        <f>MIN(-90, -89-Masks[[#This Row],[f]]/(600000000*S_ch_ds),-82-Masks[[#This Row],[f]]/(250000000*S_ch_ds))-K_ch_UPSD_ds</f>
        <v>-97.299400086720368</v>
      </c>
      <c r="G145">
        <f>-MAX(MIN(20,20-10*LOG10(2*Masks[[#This Row],[f]]/480000000)),12-3)</f>
        <v>-9</v>
      </c>
      <c r="H145">
        <f>-MAX(MIN(20,20-10*LOG10(2*Masks[[#This Row],[f]]/480000000)),12-3)</f>
        <v>-9</v>
      </c>
      <c r="I145">
        <f>10*LOG10(POWER(10,Tx_power_us/10)/F_Nyquist_us)+IF(Masks[[#This Row],[f]]&gt;F_Nyquist_us,-50)</f>
        <v>-98.470325397914564</v>
      </c>
      <c r="J145" s="3">
        <f>10*LOG10(POWER(10,Tx_power_ds/10)/F_Nyquist_ds)+IF(Masks[[#This Row],[f]]&gt;F_Nyquist_ds,-50)</f>
        <v>-98.470325397914564</v>
      </c>
      <c r="K145" s="1">
        <f>20*LOG10(ABS(SIN(PI()*Masks[[#This Row],[f]]/Config!$B$41/2000000000)/(PI()*Masks[[#This Row],[f]]/Config!$B$41/2000000000)))+Tx_power_us-10*LOG10(F_Nyquist_us)+1.11</f>
        <v>-100.63960464885101</v>
      </c>
      <c r="L145" s="1">
        <f>20*LOG10(ABS(SIN(PI()*Masks[[#This Row],[f]]/Config!$B$41/2000000000)/(PI()*Masks[[#This Row],[f]]/Config!$B$41/2000000000)))+Tx_power_ds-10*LOG10(F_Nyquist_ds)+1.11</f>
        <v>-100.63960464885101</v>
      </c>
      <c r="M145" s="1">
        <f>10*LOG10(1/(1+(Masks[[#This Row],[f]]/Config!$B$41/1000000000)^6))+Tx_power_us-10*LOG10(F_Nyquist_us)+0.45</f>
        <v>-100.09588753347668</v>
      </c>
      <c r="N145" s="1">
        <f>10*LOG10(1/(1+(Masks[[#This Row],[f]]/Config!$C$41/1000000000)^6))+Tx_power_ds-10*LOG10(F_Nyquist_ds)+0.45</f>
        <v>-100.09588753347668</v>
      </c>
      <c r="O145" s="3">
        <f>IF(Masks[[#This Row],[f]]&gt;F_Nyquist_us,0,1)</f>
        <v>1</v>
      </c>
      <c r="P145" s="3">
        <f>IF(Masks[[#This Row],[f]]&gt;F_Nyquist_ds,0,1)</f>
        <v>1</v>
      </c>
      <c r="Q145" s="2">
        <f>Config!B$40</f>
        <v>-41.640813746660612</v>
      </c>
      <c r="R145" s="3">
        <f>IF(Config!B$8&gt;0,10*LOG10($X$1*Masks[[#This Row],[f]]+Config!B$8*0.00073),-1000)</f>
        <v>-9.4661420018251814</v>
      </c>
      <c r="S145" s="3">
        <f>10*LOG10((10^(Masks[[#This Row],[wire_echo]]/10))+(10^(Masks[[#This Row],[connector_echo]]/10)))</f>
        <v>-9.4635106097611796</v>
      </c>
      <c r="T145" s="54"/>
      <c r="U145" s="54"/>
    </row>
    <row r="146" spans="1:21" x14ac:dyDescent="0.25">
      <c r="A146" s="2">
        <v>-100.68935193208073</v>
      </c>
      <c r="B146" s="2">
        <v>-100.68935193208073</v>
      </c>
      <c r="D146">
        <f>Calculate[[#This Row],[Freq]]</f>
        <v>6525000000</v>
      </c>
      <c r="E146" s="2">
        <f>MIN(-90, -89-Masks[[#This Row],[f]]/(600000000*S_ch_us),-82-Masks[[#This Row],[f]]/(250000000*S_ch_us))-K_ch_UPSD_us</f>
        <v>-97.329400086720369</v>
      </c>
      <c r="F146" s="2">
        <f>MIN(-90, -89-Masks[[#This Row],[f]]/(600000000*S_ch_ds),-82-Masks[[#This Row],[f]]/(250000000*S_ch_ds))-K_ch_UPSD_ds</f>
        <v>-97.329400086720369</v>
      </c>
      <c r="G146">
        <f>-MAX(MIN(20,20-10*LOG10(2*Masks[[#This Row],[f]]/480000000)),12-3)</f>
        <v>-9</v>
      </c>
      <c r="H146">
        <f>-MAX(MIN(20,20-10*LOG10(2*Masks[[#This Row],[f]]/480000000)),12-3)</f>
        <v>-9</v>
      </c>
      <c r="I146">
        <f>10*LOG10(POWER(10,Tx_power_us/10)/F_Nyquist_us)+IF(Masks[[#This Row],[f]]&gt;F_Nyquist_us,-50)</f>
        <v>-98.470325397914564</v>
      </c>
      <c r="J146" s="3">
        <f>10*LOG10(POWER(10,Tx_power_ds/10)/F_Nyquist_ds)+IF(Masks[[#This Row],[f]]&gt;F_Nyquist_ds,-50)</f>
        <v>-98.470325397914564</v>
      </c>
      <c r="K146" s="1">
        <f>20*LOG10(ABS(SIN(PI()*Masks[[#This Row],[f]]/Config!$B$41/2000000000)/(PI()*Masks[[#This Row],[f]]/Config!$B$41/2000000000)))+Tx_power_us-10*LOG10(F_Nyquist_us)+1.11</f>
        <v>-100.68935193208073</v>
      </c>
      <c r="L146" s="1">
        <f>20*LOG10(ABS(SIN(PI()*Masks[[#This Row],[f]]/Config!$B$41/2000000000)/(PI()*Masks[[#This Row],[f]]/Config!$B$41/2000000000)))+Tx_power_ds-10*LOG10(F_Nyquist_ds)+1.11</f>
        <v>-100.68935193208073</v>
      </c>
      <c r="M146" s="1">
        <f>10*LOG10(1/(1+(Masks[[#This Row],[f]]/Config!$B$41/1000000000)^6))+Tx_power_us-10*LOG10(F_Nyquist_us)+0.45</f>
        <v>-100.16528462747863</v>
      </c>
      <c r="N146" s="1">
        <f>10*LOG10(1/(1+(Masks[[#This Row],[f]]/Config!$C$41/1000000000)^6))+Tx_power_ds-10*LOG10(F_Nyquist_ds)+0.45</f>
        <v>-100.16528462747863</v>
      </c>
      <c r="O146" s="3">
        <f>IF(Masks[[#This Row],[f]]&gt;F_Nyquist_us,0,1)</f>
        <v>1</v>
      </c>
      <c r="P146" s="3">
        <f>IF(Masks[[#This Row],[f]]&gt;F_Nyquist_ds,0,1)</f>
        <v>1</v>
      </c>
      <c r="Q146" s="2">
        <f>Config!B$40</f>
        <v>-41.640813746660612</v>
      </c>
      <c r="R146" s="3">
        <f>IF(Config!B$8&gt;0,10*LOG10($X$1*Masks[[#This Row],[f]]+Config!B$8*0.00073),-1000)</f>
        <v>-9.4368603856744766</v>
      </c>
      <c r="S146" s="3">
        <f>10*LOG10((10^(Masks[[#This Row],[wire_echo]]/10))+(10^(Masks[[#This Row],[connector_echo]]/10)))</f>
        <v>-9.4342466703578438</v>
      </c>
      <c r="T146" s="54"/>
      <c r="U146" s="54"/>
    </row>
    <row r="147" spans="1:21" x14ac:dyDescent="0.25">
      <c r="A147" s="2">
        <v>-100.73957526118913</v>
      </c>
      <c r="B147" s="2">
        <v>-100.73957526118913</v>
      </c>
      <c r="D147">
        <f>Calculate[[#This Row],[Freq]]</f>
        <v>6570000000</v>
      </c>
      <c r="E147" s="2">
        <f>MIN(-90, -89-Masks[[#This Row],[f]]/(600000000*S_ch_us),-82-Masks[[#This Row],[f]]/(250000000*S_ch_us))-K_ch_UPSD_us</f>
        <v>-97.35940008672037</v>
      </c>
      <c r="F147" s="2">
        <f>MIN(-90, -89-Masks[[#This Row],[f]]/(600000000*S_ch_ds),-82-Masks[[#This Row],[f]]/(250000000*S_ch_ds))-K_ch_UPSD_ds</f>
        <v>-97.35940008672037</v>
      </c>
      <c r="G147">
        <f>-MAX(MIN(20,20-10*LOG10(2*Masks[[#This Row],[f]]/480000000)),12-3)</f>
        <v>-9</v>
      </c>
      <c r="H147">
        <f>-MAX(MIN(20,20-10*LOG10(2*Masks[[#This Row],[f]]/480000000)),12-3)</f>
        <v>-9</v>
      </c>
      <c r="I147">
        <f>10*LOG10(POWER(10,Tx_power_us/10)/F_Nyquist_us)+IF(Masks[[#This Row],[f]]&gt;F_Nyquist_us,-50)</f>
        <v>-98.470325397914564</v>
      </c>
      <c r="J147" s="3">
        <f>10*LOG10(POWER(10,Tx_power_ds/10)/F_Nyquist_ds)+IF(Masks[[#This Row],[f]]&gt;F_Nyquist_ds,-50)</f>
        <v>-98.470325397914564</v>
      </c>
      <c r="K147" s="1">
        <f>20*LOG10(ABS(SIN(PI()*Masks[[#This Row],[f]]/Config!$B$41/2000000000)/(PI()*Masks[[#This Row],[f]]/Config!$B$41/2000000000)))+Tx_power_us-10*LOG10(F_Nyquist_us)+1.11</f>
        <v>-100.73957526118913</v>
      </c>
      <c r="L147" s="1">
        <f>20*LOG10(ABS(SIN(PI()*Masks[[#This Row],[f]]/Config!$B$41/2000000000)/(PI()*Masks[[#This Row],[f]]/Config!$B$41/2000000000)))+Tx_power_ds-10*LOG10(F_Nyquist_ds)+1.11</f>
        <v>-100.73957526118913</v>
      </c>
      <c r="M147" s="1">
        <f>10*LOG10(1/(1+(Masks[[#This Row],[f]]/Config!$B$41/1000000000)^6))+Tx_power_us-10*LOG10(F_Nyquist_us)+0.45</f>
        <v>-100.23596724439061</v>
      </c>
      <c r="N147" s="1">
        <f>10*LOG10(1/(1+(Masks[[#This Row],[f]]/Config!$C$41/1000000000)^6))+Tx_power_ds-10*LOG10(F_Nyquist_ds)+0.45</f>
        <v>-100.23596724439061</v>
      </c>
      <c r="O147" s="3">
        <f>IF(Masks[[#This Row],[f]]&gt;F_Nyquist_us,0,1)</f>
        <v>1</v>
      </c>
      <c r="P147" s="3">
        <f>IF(Masks[[#This Row],[f]]&gt;F_Nyquist_ds,0,1)</f>
        <v>1</v>
      </c>
      <c r="Q147" s="2">
        <f>Config!B$40</f>
        <v>-41.640813746660612</v>
      </c>
      <c r="R147" s="3">
        <f>IF(Config!B$8&gt;0,10*LOG10($X$1*Masks[[#This Row],[f]]+Config!B$8*0.00073),-1000)</f>
        <v>-9.4077748747031027</v>
      </c>
      <c r="S147" s="3">
        <f>10*LOG10((10^(Masks[[#This Row],[wire_echo]]/10))+(10^(Masks[[#This Row],[connector_echo]]/10)))</f>
        <v>-9.4051786002264866</v>
      </c>
      <c r="T147" s="54"/>
      <c r="U147" s="54"/>
    </row>
    <row r="148" spans="1:21" x14ac:dyDescent="0.25">
      <c r="A148" s="2">
        <v>-100.79027833862129</v>
      </c>
      <c r="B148" s="2">
        <v>-100.79027833862129</v>
      </c>
      <c r="D148">
        <f>Calculate[[#This Row],[Freq]]</f>
        <v>6615000000</v>
      </c>
      <c r="E148" s="2">
        <f>MIN(-90, -89-Masks[[#This Row],[f]]/(600000000*S_ch_us),-82-Masks[[#This Row],[f]]/(250000000*S_ch_us))-K_ch_UPSD_us</f>
        <v>-97.389400086720372</v>
      </c>
      <c r="F148" s="2">
        <f>MIN(-90, -89-Masks[[#This Row],[f]]/(600000000*S_ch_ds),-82-Masks[[#This Row],[f]]/(250000000*S_ch_ds))-K_ch_UPSD_ds</f>
        <v>-97.389400086720372</v>
      </c>
      <c r="G148">
        <f>-MAX(MIN(20,20-10*LOG10(2*Masks[[#This Row],[f]]/480000000)),12-3)</f>
        <v>-9</v>
      </c>
      <c r="H148">
        <f>-MAX(MIN(20,20-10*LOG10(2*Masks[[#This Row],[f]]/480000000)),12-3)</f>
        <v>-9</v>
      </c>
      <c r="I148">
        <f>10*LOG10(POWER(10,Tx_power_us/10)/F_Nyquist_us)+IF(Masks[[#This Row],[f]]&gt;F_Nyquist_us,-50)</f>
        <v>-98.470325397914564</v>
      </c>
      <c r="J148" s="3">
        <f>10*LOG10(POWER(10,Tx_power_ds/10)/F_Nyquist_ds)+IF(Masks[[#This Row],[f]]&gt;F_Nyquist_ds,-50)</f>
        <v>-98.470325397914564</v>
      </c>
      <c r="K148" s="1">
        <f>20*LOG10(ABS(SIN(PI()*Masks[[#This Row],[f]]/Config!$B$41/2000000000)/(PI()*Masks[[#This Row],[f]]/Config!$B$41/2000000000)))+Tx_power_us-10*LOG10(F_Nyquist_us)+1.11</f>
        <v>-100.79027833862129</v>
      </c>
      <c r="L148" s="1">
        <f>20*LOG10(ABS(SIN(PI()*Masks[[#This Row],[f]]/Config!$B$41/2000000000)/(PI()*Masks[[#This Row],[f]]/Config!$B$41/2000000000)))+Tx_power_ds-10*LOG10(F_Nyquist_ds)+1.11</f>
        <v>-100.79027833862129</v>
      </c>
      <c r="M148" s="1">
        <f>10*LOG10(1/(1+(Masks[[#This Row],[f]]/Config!$B$41/1000000000)^6))+Tx_power_us-10*LOG10(F_Nyquist_us)+0.45</f>
        <v>-100.30792101398656</v>
      </c>
      <c r="N148" s="1">
        <f>10*LOG10(1/(1+(Masks[[#This Row],[f]]/Config!$C$41/1000000000)^6))+Tx_power_ds-10*LOG10(F_Nyquist_ds)+0.45</f>
        <v>-100.30792101398656</v>
      </c>
      <c r="O148" s="3">
        <f>IF(Masks[[#This Row],[f]]&gt;F_Nyquist_us,0,1)</f>
        <v>1</v>
      </c>
      <c r="P148" s="3">
        <f>IF(Masks[[#This Row],[f]]&gt;F_Nyquist_ds,0,1)</f>
        <v>1</v>
      </c>
      <c r="Q148" s="2">
        <f>Config!B$40</f>
        <v>-41.640813746660612</v>
      </c>
      <c r="R148" s="3">
        <f>IF(Config!B$8&gt;0,10*LOG10($X$1*Masks[[#This Row],[f]]+Config!B$8*0.00073),-1000)</f>
        <v>-9.3788828596603153</v>
      </c>
      <c r="S148" s="3">
        <f>10*LOG10((10^(Masks[[#This Row],[wire_echo]]/10))+(10^(Masks[[#This Row],[connector_echo]]/10)))</f>
        <v>-9.3763037948075549</v>
      </c>
      <c r="T148" s="54"/>
      <c r="U148" s="54"/>
    </row>
    <row r="149" spans="1:21" x14ac:dyDescent="0.25">
      <c r="A149" s="2">
        <v>-100.84146493722047</v>
      </c>
      <c r="B149" s="2">
        <v>-100.84146493722047</v>
      </c>
      <c r="D149">
        <f>Calculate[[#This Row],[Freq]]</f>
        <v>6660000000</v>
      </c>
      <c r="E149" s="2">
        <f>MIN(-90, -89-Masks[[#This Row],[f]]/(600000000*S_ch_us),-82-Masks[[#This Row],[f]]/(250000000*S_ch_us))-K_ch_UPSD_us</f>
        <v>-97.419400086720373</v>
      </c>
      <c r="F149" s="2">
        <f>MIN(-90, -89-Masks[[#This Row],[f]]/(600000000*S_ch_ds),-82-Masks[[#This Row],[f]]/(250000000*S_ch_ds))-K_ch_UPSD_ds</f>
        <v>-97.419400086720373</v>
      </c>
      <c r="G149">
        <f>-MAX(MIN(20,20-10*LOG10(2*Masks[[#This Row],[f]]/480000000)),12-3)</f>
        <v>-9</v>
      </c>
      <c r="H149">
        <f>-MAX(MIN(20,20-10*LOG10(2*Masks[[#This Row],[f]]/480000000)),12-3)</f>
        <v>-9</v>
      </c>
      <c r="I149">
        <f>10*LOG10(POWER(10,Tx_power_us/10)/F_Nyquist_us)+IF(Masks[[#This Row],[f]]&gt;F_Nyquist_us,-50)</f>
        <v>-98.470325397914564</v>
      </c>
      <c r="J149" s="3">
        <f>10*LOG10(POWER(10,Tx_power_ds/10)/F_Nyquist_ds)+IF(Masks[[#This Row],[f]]&gt;F_Nyquist_ds,-50)</f>
        <v>-98.470325397914564</v>
      </c>
      <c r="K149" s="1">
        <f>20*LOG10(ABS(SIN(PI()*Masks[[#This Row],[f]]/Config!$B$41/2000000000)/(PI()*Masks[[#This Row],[f]]/Config!$B$41/2000000000)))+Tx_power_us-10*LOG10(F_Nyquist_us)+1.11</f>
        <v>-100.84146493722047</v>
      </c>
      <c r="L149" s="1">
        <f>20*LOG10(ABS(SIN(PI()*Masks[[#This Row],[f]]/Config!$B$41/2000000000)/(PI()*Masks[[#This Row],[f]]/Config!$B$41/2000000000)))+Tx_power_ds-10*LOG10(F_Nyquist_ds)+1.11</f>
        <v>-100.84146493722047</v>
      </c>
      <c r="M149" s="1">
        <f>10*LOG10(1/(1+(Masks[[#This Row],[f]]/Config!$B$41/1000000000)^6))+Tx_power_us-10*LOG10(F_Nyquist_us)+0.45</f>
        <v>-100.38113043413766</v>
      </c>
      <c r="N149" s="1">
        <f>10*LOG10(1/(1+(Masks[[#This Row],[f]]/Config!$C$41/1000000000)^6))+Tx_power_ds-10*LOG10(F_Nyquist_ds)+0.45</f>
        <v>-100.38113043413766</v>
      </c>
      <c r="O149" s="3">
        <f>IF(Masks[[#This Row],[f]]&gt;F_Nyquist_us,0,1)</f>
        <v>1</v>
      </c>
      <c r="P149" s="3">
        <f>IF(Masks[[#This Row],[f]]&gt;F_Nyquist_ds,0,1)</f>
        <v>1</v>
      </c>
      <c r="Q149" s="2">
        <f>Config!B$40</f>
        <v>-41.640813746660612</v>
      </c>
      <c r="R149" s="3">
        <f>IF(Config!B$8&gt;0,10*LOG10($X$1*Masks[[#This Row],[f]]+Config!B$8*0.00073),-1000)</f>
        <v>-9.3501817830269456</v>
      </c>
      <c r="S149" s="3">
        <f>10*LOG10((10^(Masks[[#This Row],[wire_echo]]/10))+(10^(Masks[[#This Row],[connector_echo]]/10)))</f>
        <v>-9.3476197011495152</v>
      </c>
      <c r="T149" s="54"/>
      <c r="U149" s="54"/>
    </row>
    <row r="150" spans="1:21" x14ac:dyDescent="0.25">
      <c r="A150" s="2">
        <v>-100.89313890188022</v>
      </c>
      <c r="B150" s="2">
        <v>-100.89313890188022</v>
      </c>
      <c r="D150">
        <f>Calculate[[#This Row],[Freq]]</f>
        <v>6705000000</v>
      </c>
      <c r="E150" s="2">
        <f>MIN(-90, -89-Masks[[#This Row],[f]]/(600000000*S_ch_us),-82-Masks[[#This Row],[f]]/(250000000*S_ch_us))-K_ch_UPSD_us</f>
        <v>-97.449400086720374</v>
      </c>
      <c r="F150" s="2">
        <f>MIN(-90, -89-Masks[[#This Row],[f]]/(600000000*S_ch_ds),-82-Masks[[#This Row],[f]]/(250000000*S_ch_ds))-K_ch_UPSD_ds</f>
        <v>-97.449400086720374</v>
      </c>
      <c r="G150">
        <f>-MAX(MIN(20,20-10*LOG10(2*Masks[[#This Row],[f]]/480000000)),12-3)</f>
        <v>-9</v>
      </c>
      <c r="H150">
        <f>-MAX(MIN(20,20-10*LOG10(2*Masks[[#This Row],[f]]/480000000)),12-3)</f>
        <v>-9</v>
      </c>
      <c r="I150">
        <f>10*LOG10(POWER(10,Tx_power_us/10)/F_Nyquist_us)+IF(Masks[[#This Row],[f]]&gt;F_Nyquist_us,-50)</f>
        <v>-98.470325397914564</v>
      </c>
      <c r="J150" s="3">
        <f>10*LOG10(POWER(10,Tx_power_ds/10)/F_Nyquist_ds)+IF(Masks[[#This Row],[f]]&gt;F_Nyquist_ds,-50)</f>
        <v>-98.470325397914564</v>
      </c>
      <c r="K150" s="1">
        <f>20*LOG10(ABS(SIN(PI()*Masks[[#This Row],[f]]/Config!$B$41/2000000000)/(PI()*Masks[[#This Row],[f]]/Config!$B$41/2000000000)))+Tx_power_us-10*LOG10(F_Nyquist_us)+1.11</f>
        <v>-100.89313890188022</v>
      </c>
      <c r="L150" s="1">
        <f>20*LOG10(ABS(SIN(PI()*Masks[[#This Row],[f]]/Config!$B$41/2000000000)/(PI()*Masks[[#This Row],[f]]/Config!$B$41/2000000000)))+Tx_power_ds-10*LOG10(F_Nyquist_ds)+1.11</f>
        <v>-100.89313890188022</v>
      </c>
      <c r="M150" s="1">
        <f>10*LOG10(1/(1+(Masks[[#This Row],[f]]/Config!$B$41/1000000000)^6))+Tx_power_us-10*LOG10(F_Nyquist_us)+0.45</f>
        <v>-100.45557891493345</v>
      </c>
      <c r="N150" s="1">
        <f>10*LOG10(1/(1+(Masks[[#This Row],[f]]/Config!$C$41/1000000000)^6))+Tx_power_ds-10*LOG10(F_Nyquist_ds)+0.45</f>
        <v>-100.45557891493345</v>
      </c>
      <c r="O150" s="3">
        <f>IF(Masks[[#This Row],[f]]&gt;F_Nyquist_us,0,1)</f>
        <v>1</v>
      </c>
      <c r="P150" s="3">
        <f>IF(Masks[[#This Row],[f]]&gt;F_Nyquist_ds,0,1)</f>
        <v>1</v>
      </c>
      <c r="Q150" s="2">
        <f>Config!B$40</f>
        <v>-41.640813746660612</v>
      </c>
      <c r="R150" s="3">
        <f>IF(Config!B$8&gt;0,10*LOG10($X$1*Masks[[#This Row],[f]]+Config!B$8*0.00073),-1000)</f>
        <v>-9.3216691376568619</v>
      </c>
      <c r="S150" s="3">
        <f>10*LOG10((10^(Masks[[#This Row],[wire_echo]]/10))+(10^(Masks[[#This Row],[connector_echo]]/10)))</f>
        <v>-9.31912381655434</v>
      </c>
      <c r="T150" s="54"/>
      <c r="U150" s="54"/>
    </row>
    <row r="151" spans="1:21" x14ac:dyDescent="0.25">
      <c r="A151" s="2">
        <v>-100.94530415124757</v>
      </c>
      <c r="B151" s="2">
        <v>-100.94530415124757</v>
      </c>
      <c r="D151">
        <f>Calculate[[#This Row],[Freq]]</f>
        <v>6750000000</v>
      </c>
      <c r="E151" s="2">
        <f>MIN(-90, -89-Masks[[#This Row],[f]]/(600000000*S_ch_us),-82-Masks[[#This Row],[f]]/(250000000*S_ch_us))-K_ch_UPSD_us</f>
        <v>-97.479400086720375</v>
      </c>
      <c r="F151" s="2">
        <f>MIN(-90, -89-Masks[[#This Row],[f]]/(600000000*S_ch_ds),-82-Masks[[#This Row],[f]]/(250000000*S_ch_ds))-K_ch_UPSD_ds</f>
        <v>-97.479400086720375</v>
      </c>
      <c r="G151">
        <f>-MAX(MIN(20,20-10*LOG10(2*Masks[[#This Row],[f]]/480000000)),12-3)</f>
        <v>-9</v>
      </c>
      <c r="H151">
        <f>-MAX(MIN(20,20-10*LOG10(2*Masks[[#This Row],[f]]/480000000)),12-3)</f>
        <v>-9</v>
      </c>
      <c r="I151">
        <f>10*LOG10(POWER(10,Tx_power_us/10)/F_Nyquist_us)+IF(Masks[[#This Row],[f]]&gt;F_Nyquist_us,-50)</f>
        <v>-98.470325397914564</v>
      </c>
      <c r="J151" s="3">
        <f>10*LOG10(POWER(10,Tx_power_ds/10)/F_Nyquist_ds)+IF(Masks[[#This Row],[f]]&gt;F_Nyquist_ds,-50)</f>
        <v>-98.470325397914564</v>
      </c>
      <c r="K151" s="1">
        <f>20*LOG10(ABS(SIN(PI()*Masks[[#This Row],[f]]/Config!$B$41/2000000000)/(PI()*Masks[[#This Row],[f]]/Config!$B$41/2000000000)))+Tx_power_us-10*LOG10(F_Nyquist_us)+1.11</f>
        <v>-100.94530415124757</v>
      </c>
      <c r="L151" s="1">
        <f>20*LOG10(ABS(SIN(PI()*Masks[[#This Row],[f]]/Config!$B$41/2000000000)/(PI()*Masks[[#This Row],[f]]/Config!$B$41/2000000000)))+Tx_power_ds-10*LOG10(F_Nyquist_ds)+1.11</f>
        <v>-100.94530415124757</v>
      </c>
      <c r="M151" s="1">
        <f>10*LOG10(1/(1+(Masks[[#This Row],[f]]/Config!$B$41/1000000000)^6))+Tx_power_us-10*LOG10(F_Nyquist_us)+0.45</f>
        <v>-100.53124882549591</v>
      </c>
      <c r="N151" s="1">
        <f>10*LOG10(1/(1+(Masks[[#This Row],[f]]/Config!$C$41/1000000000)^6))+Tx_power_ds-10*LOG10(F_Nyquist_ds)+0.45</f>
        <v>-100.53124882549591</v>
      </c>
      <c r="O151" s="3">
        <f>IF(Masks[[#This Row],[f]]&gt;F_Nyquist_us,0,1)</f>
        <v>1</v>
      </c>
      <c r="P151" s="3">
        <f>IF(Masks[[#This Row],[f]]&gt;F_Nyquist_ds,0,1)</f>
        <v>1</v>
      </c>
      <c r="Q151" s="2">
        <f>Config!B$40</f>
        <v>-41.640813746660612</v>
      </c>
      <c r="R151" s="3">
        <f>IF(Config!B$8&gt;0,10*LOG10($X$1*Masks[[#This Row],[f]]+Config!B$8*0.00073),-1000)</f>
        <v>-9.2933424654627217</v>
      </c>
      <c r="S151" s="3">
        <f>10*LOG10((10^(Masks[[#This Row],[wire_echo]]/10))+(10^(Masks[[#This Row],[connector_echo]]/10)))</f>
        <v>-9.290813687267157</v>
      </c>
      <c r="T151" s="54"/>
      <c r="U151" s="54"/>
    </row>
    <row r="152" spans="1:21" x14ac:dyDescent="0.25">
      <c r="A152" s="2">
        <v>-100.99796467947888</v>
      </c>
      <c r="B152" s="2">
        <v>-100.99796467947888</v>
      </c>
      <c r="D152">
        <f>Calculate[[#This Row],[Freq]]</f>
        <v>6795000000</v>
      </c>
      <c r="E152" s="2">
        <f>MIN(-90, -89-Masks[[#This Row],[f]]/(600000000*S_ch_us),-82-Masks[[#This Row],[f]]/(250000000*S_ch_us))-K_ch_UPSD_us</f>
        <v>-97.509400086720376</v>
      </c>
      <c r="F152" s="2">
        <f>MIN(-90, -89-Masks[[#This Row],[f]]/(600000000*S_ch_ds),-82-Masks[[#This Row],[f]]/(250000000*S_ch_ds))-K_ch_UPSD_ds</f>
        <v>-97.509400086720376</v>
      </c>
      <c r="G152">
        <f>-MAX(MIN(20,20-10*LOG10(2*Masks[[#This Row],[f]]/480000000)),12-3)</f>
        <v>-9</v>
      </c>
      <c r="H152">
        <f>-MAX(MIN(20,20-10*LOG10(2*Masks[[#This Row],[f]]/480000000)),12-3)</f>
        <v>-9</v>
      </c>
      <c r="I152">
        <f>10*LOG10(POWER(10,Tx_power_us/10)/F_Nyquist_us)+IF(Masks[[#This Row],[f]]&gt;F_Nyquist_us,-50)</f>
        <v>-98.470325397914564</v>
      </c>
      <c r="J152" s="3">
        <f>10*LOG10(POWER(10,Tx_power_ds/10)/F_Nyquist_ds)+IF(Masks[[#This Row],[f]]&gt;F_Nyquist_ds,-50)</f>
        <v>-98.470325397914564</v>
      </c>
      <c r="K152" s="1">
        <f>20*LOG10(ABS(SIN(PI()*Masks[[#This Row],[f]]/Config!$B$41/2000000000)/(PI()*Masks[[#This Row],[f]]/Config!$B$41/2000000000)))+Tx_power_us-10*LOG10(F_Nyquist_us)+1.11</f>
        <v>-100.99796467947888</v>
      </c>
      <c r="L152" s="1">
        <f>20*LOG10(ABS(SIN(PI()*Masks[[#This Row],[f]]/Config!$B$41/2000000000)/(PI()*Masks[[#This Row],[f]]/Config!$B$41/2000000000)))+Tx_power_ds-10*LOG10(F_Nyquist_ds)+1.11</f>
        <v>-100.99796467947888</v>
      </c>
      <c r="M152" s="1">
        <f>10*LOG10(1/(1+(Masks[[#This Row],[f]]/Config!$B$41/1000000000)^6))+Tx_power_us-10*LOG10(F_Nyquist_us)+0.45</f>
        <v>-100.60812154320202</v>
      </c>
      <c r="N152" s="1">
        <f>10*LOG10(1/(1+(Masks[[#This Row],[f]]/Config!$C$41/1000000000)^6))+Tx_power_ds-10*LOG10(F_Nyquist_ds)+0.45</f>
        <v>-100.60812154320202</v>
      </c>
      <c r="O152" s="3">
        <f>IF(Masks[[#This Row],[f]]&gt;F_Nyquist_us,0,1)</f>
        <v>1</v>
      </c>
      <c r="P152" s="3">
        <f>IF(Masks[[#This Row],[f]]&gt;F_Nyquist_ds,0,1)</f>
        <v>1</v>
      </c>
      <c r="Q152" s="2">
        <f>Config!B$40</f>
        <v>-41.640813746660612</v>
      </c>
      <c r="R152" s="3">
        <f>IF(Config!B$8&gt;0,10*LOG10($X$1*Masks[[#This Row],[f]]+Config!B$8*0.00073),-1000)</f>
        <v>-9.2651993561443096</v>
      </c>
      <c r="S152" s="3">
        <f>10*LOG10((10^(Masks[[#This Row],[wire_echo]]/10))+(10^(Masks[[#This Row],[connector_echo]]/10)))</f>
        <v>-9.2626869072083142</v>
      </c>
      <c r="T152" s="54"/>
      <c r="U152" s="54"/>
    </row>
    <row r="153" spans="1:21" x14ac:dyDescent="0.25">
      <c r="A153" s="2">
        <v>-101.05112455805062</v>
      </c>
      <c r="B153" s="2">
        <v>-101.05112455805062</v>
      </c>
      <c r="D153">
        <f>Calculate[[#This Row],[Freq]]</f>
        <v>6840000000</v>
      </c>
      <c r="E153" s="2">
        <f>MIN(-90, -89-Masks[[#This Row],[f]]/(600000000*S_ch_us),-82-Masks[[#This Row],[f]]/(250000000*S_ch_us))-K_ch_UPSD_us</f>
        <v>-97.539400086720377</v>
      </c>
      <c r="F153" s="2">
        <f>MIN(-90, -89-Masks[[#This Row],[f]]/(600000000*S_ch_ds),-82-Masks[[#This Row],[f]]/(250000000*S_ch_ds))-K_ch_UPSD_ds</f>
        <v>-97.539400086720377</v>
      </c>
      <c r="G153">
        <f>-MAX(MIN(20,20-10*LOG10(2*Masks[[#This Row],[f]]/480000000)),12-3)</f>
        <v>-9</v>
      </c>
      <c r="H153">
        <f>-MAX(MIN(20,20-10*LOG10(2*Masks[[#This Row],[f]]/480000000)),12-3)</f>
        <v>-9</v>
      </c>
      <c r="I153">
        <f>10*LOG10(POWER(10,Tx_power_us/10)/F_Nyquist_us)+IF(Masks[[#This Row],[f]]&gt;F_Nyquist_us,-50)</f>
        <v>-98.470325397914564</v>
      </c>
      <c r="J153" s="3">
        <f>10*LOG10(POWER(10,Tx_power_ds/10)/F_Nyquist_ds)+IF(Masks[[#This Row],[f]]&gt;F_Nyquist_ds,-50)</f>
        <v>-98.470325397914564</v>
      </c>
      <c r="K153" s="1">
        <f>20*LOG10(ABS(SIN(PI()*Masks[[#This Row],[f]]/Config!$B$41/2000000000)/(PI()*Masks[[#This Row],[f]]/Config!$B$41/2000000000)))+Tx_power_us-10*LOG10(F_Nyquist_us)+1.11</f>
        <v>-101.05112455805062</v>
      </c>
      <c r="L153" s="1">
        <f>20*LOG10(ABS(SIN(PI()*Masks[[#This Row],[f]]/Config!$B$41/2000000000)/(PI()*Masks[[#This Row],[f]]/Config!$B$41/2000000000)))+Tx_power_ds-10*LOG10(F_Nyquist_ds)+1.11</f>
        <v>-101.05112455805062</v>
      </c>
      <c r="M153" s="1">
        <f>10*LOG10(1/(1+(Masks[[#This Row],[f]]/Config!$B$41/1000000000)^6))+Tx_power_us-10*LOG10(F_Nyquist_us)+0.45</f>
        <v>-100.6861775050218</v>
      </c>
      <c r="N153" s="1">
        <f>10*LOG10(1/(1+(Masks[[#This Row],[f]]/Config!$C$41/1000000000)^6))+Tx_power_ds-10*LOG10(F_Nyquist_ds)+0.45</f>
        <v>-100.6861775050218</v>
      </c>
      <c r="O153" s="3">
        <f>IF(Masks[[#This Row],[f]]&gt;F_Nyquist_us,0,1)</f>
        <v>1</v>
      </c>
      <c r="P153" s="3">
        <f>IF(Masks[[#This Row],[f]]&gt;F_Nyquist_ds,0,1)</f>
        <v>1</v>
      </c>
      <c r="Q153" s="2">
        <f>Config!B$40</f>
        <v>-41.640813746660612</v>
      </c>
      <c r="R153" s="3">
        <f>IF(Config!B$8&gt;0,10*LOG10($X$1*Masks[[#This Row],[f]]+Config!B$8*0.00073),-1000)</f>
        <v>-9.2372374459578239</v>
      </c>
      <c r="S153" s="3">
        <f>10*LOG10((10^(Masks[[#This Row],[wire_echo]]/10))+(10^(Masks[[#This Row],[connector_echo]]/10)))</f>
        <v>-9.234741116746255</v>
      </c>
      <c r="T153" s="54"/>
      <c r="U153" s="54"/>
    </row>
    <row r="154" spans="1:21" x14ac:dyDescent="0.25">
      <c r="A154" s="2">
        <v>-101.10478793762691</v>
      </c>
      <c r="B154" s="2">
        <v>-101.10478793762691</v>
      </c>
      <c r="D154">
        <f>Calculate[[#This Row],[Freq]]</f>
        <v>6885000000</v>
      </c>
      <c r="E154" s="2">
        <f>MIN(-90, -89-Masks[[#This Row],[f]]/(600000000*S_ch_us),-82-Masks[[#This Row],[f]]/(250000000*S_ch_us))-K_ch_UPSD_us</f>
        <v>-97.569400086720378</v>
      </c>
      <c r="F154" s="2">
        <f>MIN(-90, -89-Masks[[#This Row],[f]]/(600000000*S_ch_ds),-82-Masks[[#This Row],[f]]/(250000000*S_ch_ds))-K_ch_UPSD_ds</f>
        <v>-97.569400086720378</v>
      </c>
      <c r="G154">
        <f>-MAX(MIN(20,20-10*LOG10(2*Masks[[#This Row],[f]]/480000000)),12-3)</f>
        <v>-9</v>
      </c>
      <c r="H154">
        <f>-MAX(MIN(20,20-10*LOG10(2*Masks[[#This Row],[f]]/480000000)),12-3)</f>
        <v>-9</v>
      </c>
      <c r="I154">
        <f>10*LOG10(POWER(10,Tx_power_us/10)/F_Nyquist_us)+IF(Masks[[#This Row],[f]]&gt;F_Nyquist_us,-50)</f>
        <v>-98.470325397914564</v>
      </c>
      <c r="J154" s="3">
        <f>10*LOG10(POWER(10,Tx_power_ds/10)/F_Nyquist_ds)+IF(Masks[[#This Row],[f]]&gt;F_Nyquist_ds,-50)</f>
        <v>-98.470325397914564</v>
      </c>
      <c r="K154" s="1">
        <f>20*LOG10(ABS(SIN(PI()*Masks[[#This Row],[f]]/Config!$B$41/2000000000)/(PI()*Masks[[#This Row],[f]]/Config!$B$41/2000000000)))+Tx_power_us-10*LOG10(F_Nyquist_us)+1.11</f>
        <v>-101.10478793762691</v>
      </c>
      <c r="L154" s="1">
        <f>20*LOG10(ABS(SIN(PI()*Masks[[#This Row],[f]]/Config!$B$41/2000000000)/(PI()*Masks[[#This Row],[f]]/Config!$B$41/2000000000)))+Tx_power_ds-10*LOG10(F_Nyquist_ds)+1.11</f>
        <v>-101.10478793762691</v>
      </c>
      <c r="M154" s="1">
        <f>10*LOG10(1/(1+(Masks[[#This Row],[f]]/Config!$B$41/1000000000)^6))+Tx_power_us-10*LOG10(F_Nyquist_us)+0.45</f>
        <v>-100.76539626067407</v>
      </c>
      <c r="N154" s="1">
        <f>10*LOG10(1/(1+(Masks[[#This Row],[f]]/Config!$C$41/1000000000)^6))+Tx_power_ds-10*LOG10(F_Nyquist_ds)+0.45</f>
        <v>-100.76539626067407</v>
      </c>
      <c r="O154" s="3">
        <f>IF(Masks[[#This Row],[f]]&gt;F_Nyquist_us,0,1)</f>
        <v>1</v>
      </c>
      <c r="P154" s="3">
        <f>IF(Masks[[#This Row],[f]]&gt;F_Nyquist_ds,0,1)</f>
        <v>1</v>
      </c>
      <c r="Q154" s="2">
        <f>Config!B$40</f>
        <v>-41.640813746660612</v>
      </c>
      <c r="R154" s="3">
        <f>IF(Config!B$8&gt;0,10*LOG10($X$1*Masks[[#This Row],[f]]+Config!B$8*0.00073),-1000)</f>
        <v>-9.2094544165245136</v>
      </c>
      <c r="S154" s="3">
        <f>10*LOG10((10^(Masks[[#This Row],[wire_echo]]/10))+(10^(Masks[[#This Row],[connector_echo]]/10)))</f>
        <v>-9.2069740015096144</v>
      </c>
      <c r="T154" s="54"/>
      <c r="U154" s="54"/>
    </row>
    <row r="155" spans="1:21" x14ac:dyDescent="0.25">
      <c r="A155" s="2">
        <v>-101.15895904998612</v>
      </c>
      <c r="B155" s="2">
        <v>-101.15895904998612</v>
      </c>
      <c r="D155">
        <f>Calculate[[#This Row],[Freq]]</f>
        <v>6930000000</v>
      </c>
      <c r="E155" s="2">
        <f>MIN(-90, -89-Masks[[#This Row],[f]]/(600000000*S_ch_us),-82-Masks[[#This Row],[f]]/(250000000*S_ch_us))-K_ch_UPSD_us</f>
        <v>-97.599400086720379</v>
      </c>
      <c r="F155" s="2">
        <f>MIN(-90, -89-Masks[[#This Row],[f]]/(600000000*S_ch_ds),-82-Masks[[#This Row],[f]]/(250000000*S_ch_ds))-K_ch_UPSD_ds</f>
        <v>-97.599400086720379</v>
      </c>
      <c r="G155">
        <f>-MAX(MIN(20,20-10*LOG10(2*Masks[[#This Row],[f]]/480000000)),12-3)</f>
        <v>-9</v>
      </c>
      <c r="H155">
        <f>-MAX(MIN(20,20-10*LOG10(2*Masks[[#This Row],[f]]/480000000)),12-3)</f>
        <v>-9</v>
      </c>
      <c r="I155">
        <f>10*LOG10(POWER(10,Tx_power_us/10)/F_Nyquist_us)+IF(Masks[[#This Row],[f]]&gt;F_Nyquist_us,-50)</f>
        <v>-98.470325397914564</v>
      </c>
      <c r="J155" s="3">
        <f>10*LOG10(POWER(10,Tx_power_ds/10)/F_Nyquist_ds)+IF(Masks[[#This Row],[f]]&gt;F_Nyquist_ds,-50)</f>
        <v>-98.470325397914564</v>
      </c>
      <c r="K155" s="1">
        <f>20*LOG10(ABS(SIN(PI()*Masks[[#This Row],[f]]/Config!$B$41/2000000000)/(PI()*Masks[[#This Row],[f]]/Config!$B$41/2000000000)))+Tx_power_us-10*LOG10(F_Nyquist_us)+1.11</f>
        <v>-101.15895904998612</v>
      </c>
      <c r="L155" s="1">
        <f>20*LOG10(ABS(SIN(PI()*Masks[[#This Row],[f]]/Config!$B$41/2000000000)/(PI()*Masks[[#This Row],[f]]/Config!$B$41/2000000000)))+Tx_power_ds-10*LOG10(F_Nyquist_ds)+1.11</f>
        <v>-101.15895904998612</v>
      </c>
      <c r="M155" s="1">
        <f>10*LOG10(1/(1+(Masks[[#This Row],[f]]/Config!$B$41/1000000000)^6))+Tx_power_us-10*LOG10(F_Nyquist_us)+0.45</f>
        <v>-100.84575652729934</v>
      </c>
      <c r="N155" s="1">
        <f>10*LOG10(1/(1+(Masks[[#This Row],[f]]/Config!$C$41/1000000000)^6))+Tx_power_ds-10*LOG10(F_Nyquist_ds)+0.45</f>
        <v>-100.84575652729934</v>
      </c>
      <c r="O155" s="3">
        <f>IF(Masks[[#This Row],[f]]&gt;F_Nyquist_us,0,1)</f>
        <v>1</v>
      </c>
      <c r="P155" s="3">
        <f>IF(Masks[[#This Row],[f]]&gt;F_Nyquist_ds,0,1)</f>
        <v>1</v>
      </c>
      <c r="Q155" s="2">
        <f>Config!B$40</f>
        <v>-41.640813746660612</v>
      </c>
      <c r="R155" s="3">
        <f>IF(Config!B$8&gt;0,10*LOG10($X$1*Masks[[#This Row],[f]]+Config!B$8*0.00073),-1000)</f>
        <v>-9.1818479936772022</v>
      </c>
      <c r="S155" s="3">
        <f>10*LOG10((10^(Masks[[#This Row],[wire_echo]]/10))+(10^(Masks[[#This Row],[connector_echo]]/10)))</f>
        <v>-9.179383291237059</v>
      </c>
      <c r="T155" s="54"/>
      <c r="U155" s="54"/>
    </row>
    <row r="156" spans="1:21" x14ac:dyDescent="0.25">
      <c r="A156" s="2">
        <v>-101.21364221000854</v>
      </c>
      <c r="B156" s="2">
        <v>-101.21364221000854</v>
      </c>
      <c r="D156">
        <f>Calculate[[#This Row],[Freq]]</f>
        <v>6975000000</v>
      </c>
      <c r="E156" s="2">
        <f>MIN(-90, -89-Masks[[#This Row],[f]]/(600000000*S_ch_us),-82-Masks[[#This Row],[f]]/(250000000*S_ch_us))-K_ch_UPSD_us</f>
        <v>-97.629400086720381</v>
      </c>
      <c r="F156" s="2">
        <f>MIN(-90, -89-Masks[[#This Row],[f]]/(600000000*S_ch_ds),-82-Masks[[#This Row],[f]]/(250000000*S_ch_ds))-K_ch_UPSD_ds</f>
        <v>-97.629400086720381</v>
      </c>
      <c r="G156">
        <f>-MAX(MIN(20,20-10*LOG10(2*Masks[[#This Row],[f]]/480000000)),12-3)</f>
        <v>-9</v>
      </c>
      <c r="H156">
        <f>-MAX(MIN(20,20-10*LOG10(2*Masks[[#This Row],[f]]/480000000)),12-3)</f>
        <v>-9</v>
      </c>
      <c r="I156">
        <f>10*LOG10(POWER(10,Tx_power_us/10)/F_Nyquist_us)+IF(Masks[[#This Row],[f]]&gt;F_Nyquist_us,-50)</f>
        <v>-98.470325397914564</v>
      </c>
      <c r="J156" s="3">
        <f>10*LOG10(POWER(10,Tx_power_ds/10)/F_Nyquist_ds)+IF(Masks[[#This Row],[f]]&gt;F_Nyquist_ds,-50)</f>
        <v>-98.470325397914564</v>
      </c>
      <c r="K156" s="1">
        <f>20*LOG10(ABS(SIN(PI()*Masks[[#This Row],[f]]/Config!$B$41/2000000000)/(PI()*Masks[[#This Row],[f]]/Config!$B$41/2000000000)))+Tx_power_us-10*LOG10(F_Nyquist_us)+1.11</f>
        <v>-101.21364221000854</v>
      </c>
      <c r="L156" s="1">
        <f>20*LOG10(ABS(SIN(PI()*Masks[[#This Row],[f]]/Config!$B$41/2000000000)/(PI()*Masks[[#This Row],[f]]/Config!$B$41/2000000000)))+Tx_power_ds-10*LOG10(F_Nyquist_ds)+1.11</f>
        <v>-101.21364221000854</v>
      </c>
      <c r="M156" s="1">
        <f>10*LOG10(1/(1+(Masks[[#This Row],[f]]/Config!$B$41/1000000000)^6))+Tx_power_us-10*LOG10(F_Nyquist_us)+0.45</f>
        <v>-100.92723624535044</v>
      </c>
      <c r="N156" s="1">
        <f>10*LOG10(1/(1+(Masks[[#This Row],[f]]/Config!$C$41/1000000000)^6))+Tx_power_ds-10*LOG10(F_Nyquist_ds)+0.45</f>
        <v>-100.92723624535044</v>
      </c>
      <c r="O156" s="3">
        <f>IF(Masks[[#This Row],[f]]&gt;F_Nyquist_us,0,1)</f>
        <v>1</v>
      </c>
      <c r="P156" s="3">
        <f>IF(Masks[[#This Row],[f]]&gt;F_Nyquist_ds,0,1)</f>
        <v>1</v>
      </c>
      <c r="Q156" s="2">
        <f>Config!B$40</f>
        <v>-41.640813746660612</v>
      </c>
      <c r="R156" s="3">
        <f>IF(Config!B$8&gt;0,10*LOG10($X$1*Masks[[#This Row],[f]]+Config!B$8*0.00073),-1000)</f>
        <v>-9.154415946343212</v>
      </c>
      <c r="S156" s="3">
        <f>10*LOG10((10^(Masks[[#This Row],[wire_echo]]/10))+(10^(Masks[[#This Row],[connector_echo]]/10)))</f>
        <v>-9.1519667586634057</v>
      </c>
      <c r="T156" s="54"/>
      <c r="U156" s="54"/>
    </row>
    <row r="157" spans="1:21" x14ac:dyDescent="0.25">
      <c r="A157" s="2">
        <v>-101.26884181772775</v>
      </c>
      <c r="B157" s="2">
        <v>-101.26884181772775</v>
      </c>
      <c r="D157">
        <f>Calculate[[#This Row],[Freq]]</f>
        <v>7020000000</v>
      </c>
      <c r="E157" s="2">
        <f>MIN(-90, -89-Masks[[#This Row],[f]]/(600000000*S_ch_us),-82-Masks[[#This Row],[f]]/(250000000*S_ch_us))-K_ch_UPSD_us</f>
        <v>-97.659400086720382</v>
      </c>
      <c r="F157" s="2">
        <f>MIN(-90, -89-Masks[[#This Row],[f]]/(600000000*S_ch_ds),-82-Masks[[#This Row],[f]]/(250000000*S_ch_ds))-K_ch_UPSD_ds</f>
        <v>-97.659400086720382</v>
      </c>
      <c r="G157">
        <f>-MAX(MIN(20,20-10*LOG10(2*Masks[[#This Row],[f]]/480000000)),12-3)</f>
        <v>-9</v>
      </c>
      <c r="H157">
        <f>-MAX(MIN(20,20-10*LOG10(2*Masks[[#This Row],[f]]/480000000)),12-3)</f>
        <v>-9</v>
      </c>
      <c r="I157">
        <f>10*LOG10(POWER(10,Tx_power_us/10)/F_Nyquist_us)+IF(Masks[[#This Row],[f]]&gt;F_Nyquist_us,-50)</f>
        <v>-98.470325397914564</v>
      </c>
      <c r="J157" s="3">
        <f>10*LOG10(POWER(10,Tx_power_ds/10)/F_Nyquist_ds)+IF(Masks[[#This Row],[f]]&gt;F_Nyquist_ds,-50)</f>
        <v>-98.470325397914564</v>
      </c>
      <c r="K157" s="1">
        <f>20*LOG10(ABS(SIN(PI()*Masks[[#This Row],[f]]/Config!$B$41/2000000000)/(PI()*Masks[[#This Row],[f]]/Config!$B$41/2000000000)))+Tx_power_us-10*LOG10(F_Nyquist_us)+1.11</f>
        <v>-101.26884181772775</v>
      </c>
      <c r="L157" s="1">
        <f>20*LOG10(ABS(SIN(PI()*Masks[[#This Row],[f]]/Config!$B$41/2000000000)/(PI()*Masks[[#This Row],[f]]/Config!$B$41/2000000000)))+Tx_power_ds-10*LOG10(F_Nyquist_ds)+1.11</f>
        <v>-101.26884181772775</v>
      </c>
      <c r="M157" s="1">
        <f>10*LOG10(1/(1+(Masks[[#This Row],[f]]/Config!$B$41/1000000000)^6))+Tx_power_us-10*LOG10(F_Nyquist_us)+0.45</f>
        <v>-101.00981263540315</v>
      </c>
      <c r="N157" s="1">
        <f>10*LOG10(1/(1+(Masks[[#This Row],[f]]/Config!$C$41/1000000000)^6))+Tx_power_ds-10*LOG10(F_Nyquist_ds)+0.45</f>
        <v>-101.00981263540315</v>
      </c>
      <c r="O157" s="3">
        <f>IF(Masks[[#This Row],[f]]&gt;F_Nyquist_us,0,1)</f>
        <v>1</v>
      </c>
      <c r="P157" s="3">
        <f>IF(Masks[[#This Row],[f]]&gt;F_Nyquist_ds,0,1)</f>
        <v>1</v>
      </c>
      <c r="Q157" s="2">
        <f>Config!B$40</f>
        <v>-41.640813746660612</v>
      </c>
      <c r="R157" s="3">
        <f>IF(Config!B$8&gt;0,10*LOG10($X$1*Masks[[#This Row],[f]]+Config!B$8*0.00073),-1000)</f>
        <v>-9.127156085462385</v>
      </c>
      <c r="S157" s="3">
        <f>10*LOG10((10^(Masks[[#This Row],[wire_echo]]/10))+(10^(Masks[[#This Row],[connector_echo]]/10)))</f>
        <v>-9.1247222184407271</v>
      </c>
      <c r="T157" s="54"/>
      <c r="U157" s="54"/>
    </row>
    <row r="158" spans="1:21" x14ac:dyDescent="0.25">
      <c r="A158" s="2">
        <v>-101.32456236044777</v>
      </c>
      <c r="B158" s="2">
        <v>-101.32456236044777</v>
      </c>
      <c r="D158">
        <f>Calculate[[#This Row],[Freq]]</f>
        <v>7065000000</v>
      </c>
      <c r="E158" s="2">
        <f>MIN(-90, -89-Masks[[#This Row],[f]]/(600000000*S_ch_us),-82-Masks[[#This Row],[f]]/(250000000*S_ch_us))-K_ch_UPSD_us</f>
        <v>-97.689400086720369</v>
      </c>
      <c r="F158" s="2">
        <f>MIN(-90, -89-Masks[[#This Row],[f]]/(600000000*S_ch_ds),-82-Masks[[#This Row],[f]]/(250000000*S_ch_ds))-K_ch_UPSD_ds</f>
        <v>-97.689400086720369</v>
      </c>
      <c r="G158">
        <f>-MAX(MIN(20,20-10*LOG10(2*Masks[[#This Row],[f]]/480000000)),12-3)</f>
        <v>-9</v>
      </c>
      <c r="H158">
        <f>-MAX(MIN(20,20-10*LOG10(2*Masks[[#This Row],[f]]/480000000)),12-3)</f>
        <v>-9</v>
      </c>
      <c r="I158">
        <f>10*LOG10(POWER(10,Tx_power_us/10)/F_Nyquist_us)+IF(Masks[[#This Row],[f]]&gt;F_Nyquist_us,-50)</f>
        <v>-148.47032539791456</v>
      </c>
      <c r="J158" s="3">
        <f>10*LOG10(POWER(10,Tx_power_ds/10)/F_Nyquist_ds)+IF(Masks[[#This Row],[f]]&gt;F_Nyquist_ds,-50)</f>
        <v>-148.47032539791456</v>
      </c>
      <c r="K158" s="1">
        <f>20*LOG10(ABS(SIN(PI()*Masks[[#This Row],[f]]/Config!$B$41/2000000000)/(PI()*Masks[[#This Row],[f]]/Config!$B$41/2000000000)))+Tx_power_us-10*LOG10(F_Nyquist_us)+1.11</f>
        <v>-101.32456236044777</v>
      </c>
      <c r="L158" s="1">
        <f>20*LOG10(ABS(SIN(PI()*Masks[[#This Row],[f]]/Config!$B$41/2000000000)/(PI()*Masks[[#This Row],[f]]/Config!$B$41/2000000000)))+Tx_power_ds-10*LOG10(F_Nyquist_ds)+1.11</f>
        <v>-101.32456236044777</v>
      </c>
      <c r="M158" s="1">
        <f>10*LOG10(1/(1+(Masks[[#This Row],[f]]/Config!$B$41/1000000000)^6))+Tx_power_us-10*LOG10(F_Nyquist_us)+0.45</f>
        <v>-101.09346225559574</v>
      </c>
      <c r="N158" s="1">
        <f>10*LOG10(1/(1+(Masks[[#This Row],[f]]/Config!$C$41/1000000000)^6))+Tx_power_ds-10*LOG10(F_Nyquist_ds)+0.45</f>
        <v>-101.09346225559574</v>
      </c>
      <c r="O158" s="3">
        <f>IF(Masks[[#This Row],[f]]&gt;F_Nyquist_us,0,1)</f>
        <v>0</v>
      </c>
      <c r="P158" s="3">
        <f>IF(Masks[[#This Row],[f]]&gt;F_Nyquist_ds,0,1)</f>
        <v>0</v>
      </c>
      <c r="Q158" s="2">
        <f>Config!B$40</f>
        <v>-41.640813746660612</v>
      </c>
      <c r="R158" s="3">
        <f>IF(Config!B$8&gt;0,10*LOG10($X$1*Masks[[#This Row],[f]]+Config!B$8*0.00073),-1000)</f>
        <v>-9.1000662629388156</v>
      </c>
      <c r="S158" s="3">
        <f>10*LOG10((10^(Masks[[#This Row],[wire_echo]]/10))+(10^(Masks[[#This Row],[connector_echo]]/10)))</f>
        <v>-9.0976475260930361</v>
      </c>
      <c r="T158" s="54"/>
      <c r="U158" s="54"/>
    </row>
    <row r="159" spans="1:21" x14ac:dyDescent="0.25">
      <c r="A159" s="2">
        <v>-101.38080841492898</v>
      </c>
      <c r="B159" s="2">
        <v>-101.38080841492898</v>
      </c>
      <c r="D159">
        <f>Calculate[[#This Row],[Freq]]</f>
        <v>7110000000</v>
      </c>
      <c r="E159" s="2">
        <f>MIN(-90, -89-Masks[[#This Row],[f]]/(600000000*S_ch_us),-82-Masks[[#This Row],[f]]/(250000000*S_ch_us))-K_ch_UPSD_us</f>
        <v>-97.71940008672037</v>
      </c>
      <c r="F159" s="2">
        <f>MIN(-90, -89-Masks[[#This Row],[f]]/(600000000*S_ch_ds),-82-Masks[[#This Row],[f]]/(250000000*S_ch_ds))-K_ch_UPSD_ds</f>
        <v>-97.71940008672037</v>
      </c>
      <c r="G159">
        <f>-MAX(MIN(20,20-10*LOG10(2*Masks[[#This Row],[f]]/480000000)),12-3)</f>
        <v>-9</v>
      </c>
      <c r="H159">
        <f>-MAX(MIN(20,20-10*LOG10(2*Masks[[#This Row],[f]]/480000000)),12-3)</f>
        <v>-9</v>
      </c>
      <c r="I159">
        <f>10*LOG10(POWER(10,Tx_power_us/10)/F_Nyquist_us)+IF(Masks[[#This Row],[f]]&gt;F_Nyquist_us,-50)</f>
        <v>-148.47032539791456</v>
      </c>
      <c r="J159" s="3">
        <f>10*LOG10(POWER(10,Tx_power_ds/10)/F_Nyquist_ds)+IF(Masks[[#This Row],[f]]&gt;F_Nyquist_ds,-50)</f>
        <v>-148.47032539791456</v>
      </c>
      <c r="K159" s="1">
        <f>20*LOG10(ABS(SIN(PI()*Masks[[#This Row],[f]]/Config!$B$41/2000000000)/(PI()*Masks[[#This Row],[f]]/Config!$B$41/2000000000)))+Tx_power_us-10*LOG10(F_Nyquist_us)+1.11</f>
        <v>-101.38080841492898</v>
      </c>
      <c r="L159" s="1">
        <f>20*LOG10(ABS(SIN(PI()*Masks[[#This Row],[f]]/Config!$B$41/2000000000)/(PI()*Masks[[#This Row],[f]]/Config!$B$41/2000000000)))+Tx_power_ds-10*LOG10(F_Nyquist_ds)+1.11</f>
        <v>-101.38080841492898</v>
      </c>
      <c r="M159" s="1">
        <f>10*LOG10(1/(1+(Masks[[#This Row],[f]]/Config!$B$41/1000000000)^6))+Tx_power_us-10*LOG10(F_Nyquist_us)+0.45</f>
        <v>-101.1781610594128</v>
      </c>
      <c r="N159" s="1">
        <f>10*LOG10(1/(1+(Masks[[#This Row],[f]]/Config!$C$41/1000000000)^6))+Tx_power_ds-10*LOG10(F_Nyquist_ds)+0.45</f>
        <v>-101.1781610594128</v>
      </c>
      <c r="O159" s="3">
        <f>IF(Masks[[#This Row],[f]]&gt;F_Nyquist_us,0,1)</f>
        <v>0</v>
      </c>
      <c r="P159" s="3">
        <f>IF(Masks[[#This Row],[f]]&gt;F_Nyquist_ds,0,1)</f>
        <v>0</v>
      </c>
      <c r="Q159" s="2">
        <f>Config!B$40</f>
        <v>-41.640813746660612</v>
      </c>
      <c r="R159" s="3">
        <f>IF(Config!B$8&gt;0,10*LOG10($X$1*Masks[[#This Row],[f]]+Config!B$8*0.00073),-1000)</f>
        <v>-9.0731443706250925</v>
      </c>
      <c r="S159" s="3">
        <f>10*LOG10((10^(Masks[[#This Row],[wire_echo]]/10))+(10^(Masks[[#This Row],[connector_echo]]/10)))</f>
        <v>-9.0707405770033827</v>
      </c>
      <c r="T159" s="54"/>
      <c r="U159" s="54"/>
    </row>
    <row r="160" spans="1:21" x14ac:dyDescent="0.25">
      <c r="A160" s="2">
        <v>-101.43758464964499</v>
      </c>
      <c r="B160" s="2">
        <v>-101.43758464964499</v>
      </c>
      <c r="D160">
        <f>Calculate[[#This Row],[Freq]]</f>
        <v>7155000000</v>
      </c>
      <c r="E160" s="2">
        <f>MIN(-90, -89-Masks[[#This Row],[f]]/(600000000*S_ch_us),-82-Masks[[#This Row],[f]]/(250000000*S_ch_us))-K_ch_UPSD_us</f>
        <v>-97.749400086720371</v>
      </c>
      <c r="F160" s="2">
        <f>MIN(-90, -89-Masks[[#This Row],[f]]/(600000000*S_ch_ds),-82-Masks[[#This Row],[f]]/(250000000*S_ch_ds))-K_ch_UPSD_ds</f>
        <v>-97.749400086720371</v>
      </c>
      <c r="G160">
        <f>-MAX(MIN(20,20-10*LOG10(2*Masks[[#This Row],[f]]/480000000)),12-3)</f>
        <v>-9</v>
      </c>
      <c r="H160">
        <f>-MAX(MIN(20,20-10*LOG10(2*Masks[[#This Row],[f]]/480000000)),12-3)</f>
        <v>-9</v>
      </c>
      <c r="I160">
        <f>10*LOG10(POWER(10,Tx_power_us/10)/F_Nyquist_us)+IF(Masks[[#This Row],[f]]&gt;F_Nyquist_us,-50)</f>
        <v>-148.47032539791456</v>
      </c>
      <c r="J160" s="3">
        <f>10*LOG10(POWER(10,Tx_power_ds/10)/F_Nyquist_ds)+IF(Masks[[#This Row],[f]]&gt;F_Nyquist_ds,-50)</f>
        <v>-148.47032539791456</v>
      </c>
      <c r="K160" s="1">
        <f>20*LOG10(ABS(SIN(PI()*Masks[[#This Row],[f]]/Config!$B$41/2000000000)/(PI()*Masks[[#This Row],[f]]/Config!$B$41/2000000000)))+Tx_power_us-10*LOG10(F_Nyquist_us)+1.11</f>
        <v>-101.43758464964499</v>
      </c>
      <c r="L160" s="1">
        <f>20*LOG10(ABS(SIN(PI()*Masks[[#This Row],[f]]/Config!$B$41/2000000000)/(PI()*Masks[[#This Row],[f]]/Config!$B$41/2000000000)))+Tx_power_ds-10*LOG10(F_Nyquist_ds)+1.11</f>
        <v>-101.43758464964499</v>
      </c>
      <c r="M160" s="1">
        <f>10*LOG10(1/(1+(Masks[[#This Row],[f]]/Config!$B$41/1000000000)^6))+Tx_power_us-10*LOG10(F_Nyquist_us)+0.45</f>
        <v>-101.26388445353903</v>
      </c>
      <c r="N160" s="1">
        <f>10*LOG10(1/(1+(Masks[[#This Row],[f]]/Config!$C$41/1000000000)^6))+Tx_power_ds-10*LOG10(F_Nyquist_ds)+0.45</f>
        <v>-101.26388445353903</v>
      </c>
      <c r="O160" s="3">
        <f>IF(Masks[[#This Row],[f]]&gt;F_Nyquist_us,0,1)</f>
        <v>0</v>
      </c>
      <c r="P160" s="3">
        <f>IF(Masks[[#This Row],[f]]&gt;F_Nyquist_ds,0,1)</f>
        <v>0</v>
      </c>
      <c r="Q160" s="2">
        <f>Config!B$40</f>
        <v>-41.640813746660612</v>
      </c>
      <c r="R160" s="3">
        <f>IF(Config!B$8&gt;0,10*LOG10($X$1*Masks[[#This Row],[f]]+Config!B$8*0.00073),-1000)</f>
        <v>-9.0463883393378293</v>
      </c>
      <c r="S160" s="3">
        <f>10*LOG10((10^(Masks[[#This Row],[wire_echo]]/10))+(10^(Masks[[#This Row],[connector_echo]]/10)))</f>
        <v>-9.0439993054321324</v>
      </c>
      <c r="T160" s="54"/>
      <c r="U160" s="54"/>
    </row>
    <row r="161" spans="1:21" x14ac:dyDescent="0.25">
      <c r="A161" s="2">
        <v>-101.49489582711355</v>
      </c>
      <c r="B161" s="2">
        <v>-101.49489582711355</v>
      </c>
      <c r="D161">
        <f>Calculate[[#This Row],[Freq]]</f>
        <v>7200000000</v>
      </c>
      <c r="E161" s="2">
        <f>MIN(-90, -89-Masks[[#This Row],[f]]/(600000000*S_ch_us),-82-Masks[[#This Row],[f]]/(250000000*S_ch_us))-K_ch_UPSD_us</f>
        <v>-97.779400086720372</v>
      </c>
      <c r="F161" s="2">
        <f>MIN(-90, -89-Masks[[#This Row],[f]]/(600000000*S_ch_ds),-82-Masks[[#This Row],[f]]/(250000000*S_ch_ds))-K_ch_UPSD_ds</f>
        <v>-97.779400086720372</v>
      </c>
      <c r="G161">
        <f>-MAX(MIN(20,20-10*LOG10(2*Masks[[#This Row],[f]]/480000000)),12-3)</f>
        <v>-9</v>
      </c>
      <c r="H161">
        <f>-MAX(MIN(20,20-10*LOG10(2*Masks[[#This Row],[f]]/480000000)),12-3)</f>
        <v>-9</v>
      </c>
      <c r="I161">
        <f>10*LOG10(POWER(10,Tx_power_us/10)/F_Nyquist_us)+IF(Masks[[#This Row],[f]]&gt;F_Nyquist_us,-50)</f>
        <v>-148.47032539791456</v>
      </c>
      <c r="J161" s="3">
        <f>10*LOG10(POWER(10,Tx_power_ds/10)/F_Nyquist_ds)+IF(Masks[[#This Row],[f]]&gt;F_Nyquist_ds,-50)</f>
        <v>-148.47032539791456</v>
      </c>
      <c r="K161" s="1">
        <f>20*LOG10(ABS(SIN(PI()*Masks[[#This Row],[f]]/Config!$B$41/2000000000)/(PI()*Masks[[#This Row],[f]]/Config!$B$41/2000000000)))+Tx_power_us-10*LOG10(F_Nyquist_us)+1.11</f>
        <v>-101.49489582711355</v>
      </c>
      <c r="L161" s="1">
        <f>20*LOG10(ABS(SIN(PI()*Masks[[#This Row],[f]]/Config!$B$41/2000000000)/(PI()*Masks[[#This Row],[f]]/Config!$B$41/2000000000)))+Tx_power_ds-10*LOG10(F_Nyquist_ds)+1.11</f>
        <v>-101.49489582711355</v>
      </c>
      <c r="M161" s="1">
        <f>10*LOG10(1/(1+(Masks[[#This Row],[f]]/Config!$B$41/1000000000)^6))+Tx_power_us-10*LOG10(F_Nyquist_us)+0.45</f>
        <v>-101.35060735551981</v>
      </c>
      <c r="N161" s="1">
        <f>10*LOG10(1/(1+(Masks[[#This Row],[f]]/Config!$C$41/1000000000)^6))+Tx_power_ds-10*LOG10(F_Nyquist_ds)+0.45</f>
        <v>-101.35060735551981</v>
      </c>
      <c r="O161" s="3">
        <f>IF(Masks[[#This Row],[f]]&gt;F_Nyquist_us,0,1)</f>
        <v>0</v>
      </c>
      <c r="P161" s="3">
        <f>IF(Masks[[#This Row],[f]]&gt;F_Nyquist_ds,0,1)</f>
        <v>0</v>
      </c>
      <c r="Q161" s="2">
        <f>Config!B$40</f>
        <v>-41.640813746660612</v>
      </c>
      <c r="R161" s="3">
        <f>IF(Config!B$8&gt;0,10*LOG10($X$1*Masks[[#This Row],[f]]+Config!B$8*0.00073),-1000)</f>
        <v>-9.0197961379033256</v>
      </c>
      <c r="S161" s="3">
        <f>10*LOG10((10^(Masks[[#This Row],[wire_echo]]/10))+(10^(Masks[[#This Row],[connector_echo]]/10)))</f>
        <v>-9.0174216835652672</v>
      </c>
      <c r="T161" s="54"/>
      <c r="U161" s="54"/>
    </row>
    <row r="162" spans="1:21" x14ac:dyDescent="0.25">
      <c r="A162" s="2">
        <v>-101.55274680630444</v>
      </c>
      <c r="B162" s="2">
        <v>-101.55274680630444</v>
      </c>
      <c r="D162">
        <f>Calculate[[#This Row],[Freq]]</f>
        <v>7245000000</v>
      </c>
      <c r="E162" s="2">
        <f>MIN(-90, -89-Masks[[#This Row],[f]]/(600000000*S_ch_us),-82-Masks[[#This Row],[f]]/(250000000*S_ch_us))-K_ch_UPSD_us</f>
        <v>-97.809400086720373</v>
      </c>
      <c r="F162" s="2">
        <f>MIN(-90, -89-Masks[[#This Row],[f]]/(600000000*S_ch_ds),-82-Masks[[#This Row],[f]]/(250000000*S_ch_ds))-K_ch_UPSD_ds</f>
        <v>-97.809400086720373</v>
      </c>
      <c r="G162">
        <f>-MAX(MIN(20,20-10*LOG10(2*Masks[[#This Row],[f]]/480000000)),12-3)</f>
        <v>-9</v>
      </c>
      <c r="H162">
        <f>-MAX(MIN(20,20-10*LOG10(2*Masks[[#This Row],[f]]/480000000)),12-3)</f>
        <v>-9</v>
      </c>
      <c r="I162">
        <f>10*LOG10(POWER(10,Tx_power_us/10)/F_Nyquist_us)+IF(Masks[[#This Row],[f]]&gt;F_Nyquist_us,-50)</f>
        <v>-148.47032539791456</v>
      </c>
      <c r="J162" s="3">
        <f>10*LOG10(POWER(10,Tx_power_ds/10)/F_Nyquist_ds)+IF(Masks[[#This Row],[f]]&gt;F_Nyquist_ds,-50)</f>
        <v>-148.47032539791456</v>
      </c>
      <c r="K162" s="1">
        <f>20*LOG10(ABS(SIN(PI()*Masks[[#This Row],[f]]/Config!$B$41/2000000000)/(PI()*Masks[[#This Row],[f]]/Config!$B$41/2000000000)))+Tx_power_us-10*LOG10(F_Nyquist_us)+1.11</f>
        <v>-101.55274680630444</v>
      </c>
      <c r="L162" s="1">
        <f>20*LOG10(ABS(SIN(PI()*Masks[[#This Row],[f]]/Config!$B$41/2000000000)/(PI()*Masks[[#This Row],[f]]/Config!$B$41/2000000000)))+Tx_power_ds-10*LOG10(F_Nyquist_ds)+1.11</f>
        <v>-101.55274680630444</v>
      </c>
      <c r="M162" s="1">
        <f>10*LOG10(1/(1+(Masks[[#This Row],[f]]/Config!$B$41/1000000000)^6))+Tx_power_us-10*LOG10(F_Nyquist_us)+0.45</f>
        <v>-101.4383042509785</v>
      </c>
      <c r="N162" s="1">
        <f>10*LOG10(1/(1+(Masks[[#This Row],[f]]/Config!$C$41/1000000000)^6))+Tx_power_ds-10*LOG10(F_Nyquist_ds)+0.45</f>
        <v>-101.4383042509785</v>
      </c>
      <c r="O162" s="3">
        <f>IF(Masks[[#This Row],[f]]&gt;F_Nyquist_us,0,1)</f>
        <v>0</v>
      </c>
      <c r="P162" s="3">
        <f>IF(Masks[[#This Row],[f]]&gt;F_Nyquist_ds,0,1)</f>
        <v>0</v>
      </c>
      <c r="Q162" s="2">
        <f>Config!B$40</f>
        <v>-41.640813746660612</v>
      </c>
      <c r="R162" s="3">
        <f>IF(Config!B$8&gt;0,10*LOG10($X$1*Masks[[#This Row],[f]]+Config!B$8*0.00073),-1000)</f>
        <v>-8.9933657722322842</v>
      </c>
      <c r="S162" s="3">
        <f>10*LOG10((10^(Masks[[#This Row],[wire_echo]]/10))+(10^(Masks[[#This Row],[connector_echo]]/10)))</f>
        <v>-8.9910057205916676</v>
      </c>
      <c r="T162" s="54"/>
      <c r="U162" s="54"/>
    </row>
    <row r="163" spans="1:21" x14ac:dyDescent="0.25">
      <c r="A163" s="2">
        <v>-101.61114254512712</v>
      </c>
      <c r="B163" s="2">
        <v>-101.61114254512712</v>
      </c>
      <c r="D163">
        <f>Calculate[[#This Row],[Freq]]</f>
        <v>7290000000</v>
      </c>
      <c r="E163" s="2">
        <f>MIN(-90, -89-Masks[[#This Row],[f]]/(600000000*S_ch_us),-82-Masks[[#This Row],[f]]/(250000000*S_ch_us))-K_ch_UPSD_us</f>
        <v>-97.839400086720374</v>
      </c>
      <c r="F163" s="2">
        <f>MIN(-90, -89-Masks[[#This Row],[f]]/(600000000*S_ch_ds),-82-Masks[[#This Row],[f]]/(250000000*S_ch_ds))-K_ch_UPSD_ds</f>
        <v>-97.839400086720374</v>
      </c>
      <c r="G163">
        <f>-MAX(MIN(20,20-10*LOG10(2*Masks[[#This Row],[f]]/480000000)),12-3)</f>
        <v>-9</v>
      </c>
      <c r="H163">
        <f>-MAX(MIN(20,20-10*LOG10(2*Masks[[#This Row],[f]]/480000000)),12-3)</f>
        <v>-9</v>
      </c>
      <c r="I163">
        <f>10*LOG10(POWER(10,Tx_power_us/10)/F_Nyquist_us)+IF(Masks[[#This Row],[f]]&gt;F_Nyquist_us,-50)</f>
        <v>-148.47032539791456</v>
      </c>
      <c r="J163" s="3">
        <f>10*LOG10(POWER(10,Tx_power_ds/10)/F_Nyquist_ds)+IF(Masks[[#This Row],[f]]&gt;F_Nyquist_ds,-50)</f>
        <v>-148.47032539791456</v>
      </c>
      <c r="K163" s="1">
        <f>20*LOG10(ABS(SIN(PI()*Masks[[#This Row],[f]]/Config!$B$41/2000000000)/(PI()*Masks[[#This Row],[f]]/Config!$B$41/2000000000)))+Tx_power_us-10*LOG10(F_Nyquist_us)+1.11</f>
        <v>-101.61114254512712</v>
      </c>
      <c r="L163" s="1">
        <f>20*LOG10(ABS(SIN(PI()*Masks[[#This Row],[f]]/Config!$B$41/2000000000)/(PI()*Masks[[#This Row],[f]]/Config!$B$41/2000000000)))+Tx_power_ds-10*LOG10(F_Nyquist_ds)+1.11</f>
        <v>-101.61114254512712</v>
      </c>
      <c r="M163" s="1">
        <f>10*LOG10(1/(1+(Masks[[#This Row],[f]]/Config!$B$41/1000000000)^6))+Tx_power_us-10*LOG10(F_Nyquist_us)+0.45</f>
        <v>-101.52694925015477</v>
      </c>
      <c r="N163" s="1">
        <f>10*LOG10(1/(1+(Masks[[#This Row],[f]]/Config!$C$41/1000000000)^6))+Tx_power_ds-10*LOG10(F_Nyquist_ds)+0.45</f>
        <v>-101.52694925015477</v>
      </c>
      <c r="O163" s="3">
        <f>IF(Masks[[#This Row],[f]]&gt;F_Nyquist_us,0,1)</f>
        <v>0</v>
      </c>
      <c r="P163" s="3">
        <f>IF(Masks[[#This Row],[f]]&gt;F_Nyquist_ds,0,1)</f>
        <v>0</v>
      </c>
      <c r="Q163" s="2">
        <f>Config!B$40</f>
        <v>-41.640813746660612</v>
      </c>
      <c r="R163" s="3">
        <f>IF(Config!B$8&gt;0,10*LOG10($X$1*Masks[[#This Row],[f]]+Config!B$8*0.00073),-1000)</f>
        <v>-8.9670952844225056</v>
      </c>
      <c r="S163" s="3">
        <f>10*LOG10((10^(Masks[[#This Row],[wire_echo]]/10))+(10^(Masks[[#This Row],[connector_echo]]/10)))</f>
        <v>-8.9647494618082426</v>
      </c>
      <c r="T163" s="54"/>
      <c r="U163" s="54"/>
    </row>
    <row r="164" spans="1:21" x14ac:dyDescent="0.25">
      <c r="A164" s="2">
        <v>-101.67008810300156</v>
      </c>
      <c r="B164" s="2">
        <v>-101.67008810300156</v>
      </c>
      <c r="D164">
        <f>Calculate[[#This Row],[Freq]]</f>
        <v>7335000000</v>
      </c>
      <c r="E164" s="2">
        <f>MIN(-90, -89-Masks[[#This Row],[f]]/(600000000*S_ch_us),-82-Masks[[#This Row],[f]]/(250000000*S_ch_us))-K_ch_UPSD_us</f>
        <v>-97.869400086720375</v>
      </c>
      <c r="F164" s="2">
        <f>MIN(-90, -89-Masks[[#This Row],[f]]/(600000000*S_ch_ds),-82-Masks[[#This Row],[f]]/(250000000*S_ch_ds))-K_ch_UPSD_ds</f>
        <v>-97.869400086720375</v>
      </c>
      <c r="G164">
        <f>-MAX(MIN(20,20-10*LOG10(2*Masks[[#This Row],[f]]/480000000)),12-3)</f>
        <v>-9</v>
      </c>
      <c r="H164">
        <f>-MAX(MIN(20,20-10*LOG10(2*Masks[[#This Row],[f]]/480000000)),12-3)</f>
        <v>-9</v>
      </c>
      <c r="I164">
        <f>10*LOG10(POWER(10,Tx_power_us/10)/F_Nyquist_us)+IF(Masks[[#This Row],[f]]&gt;F_Nyquist_us,-50)</f>
        <v>-148.47032539791456</v>
      </c>
      <c r="J164" s="3">
        <f>10*LOG10(POWER(10,Tx_power_ds/10)/F_Nyquist_ds)+IF(Masks[[#This Row],[f]]&gt;F_Nyquist_ds,-50)</f>
        <v>-148.47032539791456</v>
      </c>
      <c r="K164" s="1">
        <f>20*LOG10(ABS(SIN(PI()*Masks[[#This Row],[f]]/Config!$B$41/2000000000)/(PI()*Masks[[#This Row],[f]]/Config!$B$41/2000000000)))+Tx_power_us-10*LOG10(F_Nyquist_us)+1.11</f>
        <v>-101.67008810300156</v>
      </c>
      <c r="L164" s="1">
        <f>20*LOG10(ABS(SIN(PI()*Masks[[#This Row],[f]]/Config!$B$41/2000000000)/(PI()*Masks[[#This Row],[f]]/Config!$B$41/2000000000)))+Tx_power_ds-10*LOG10(F_Nyquist_ds)+1.11</f>
        <v>-101.67008810300156</v>
      </c>
      <c r="M164" s="1">
        <f>10*LOG10(1/(1+(Masks[[#This Row],[f]]/Config!$B$41/1000000000)^6))+Tx_power_us-10*LOG10(F_Nyquist_us)+0.45</f>
        <v>-101.61651614354416</v>
      </c>
      <c r="N164" s="1">
        <f>10*LOG10(1/(1+(Masks[[#This Row],[f]]/Config!$C$41/1000000000)^6))+Tx_power_ds-10*LOG10(F_Nyquist_ds)+0.45</f>
        <v>-101.61651614354416</v>
      </c>
      <c r="O164" s="3">
        <f>IF(Masks[[#This Row],[f]]&gt;F_Nyquist_us,0,1)</f>
        <v>0</v>
      </c>
      <c r="P164" s="3">
        <f>IF(Masks[[#This Row],[f]]&gt;F_Nyquist_ds,0,1)</f>
        <v>0</v>
      </c>
      <c r="Q164" s="2">
        <f>Config!B$40</f>
        <v>-41.640813746660612</v>
      </c>
      <c r="R164" s="3">
        <f>IF(Config!B$8&gt;0,10*LOG10($X$1*Masks[[#This Row],[f]]+Config!B$8*0.00073),-1000)</f>
        <v>-8.9409827518885443</v>
      </c>
      <c r="S164" s="3">
        <f>10*LOG10((10^(Masks[[#This Row],[wire_echo]]/10))+(10^(Masks[[#This Row],[connector_echo]]/10)))</f>
        <v>-8.9386509877519735</v>
      </c>
      <c r="T164" s="54"/>
      <c r="U164" s="54"/>
    </row>
    <row r="165" spans="1:21" x14ac:dyDescent="0.25">
      <c r="A165" s="2">
        <v>-101.72958864351557</v>
      </c>
      <c r="B165" s="2">
        <v>-101.72958864351557</v>
      </c>
      <c r="D165">
        <f>Calculate[[#This Row],[Freq]]</f>
        <v>7380000000</v>
      </c>
      <c r="E165" s="2">
        <f>MIN(-90, -89-Masks[[#This Row],[f]]/(600000000*S_ch_us),-82-Masks[[#This Row],[f]]/(250000000*S_ch_us))-K_ch_UPSD_us</f>
        <v>-97.899400086720377</v>
      </c>
      <c r="F165" s="2">
        <f>MIN(-90, -89-Masks[[#This Row],[f]]/(600000000*S_ch_ds),-82-Masks[[#This Row],[f]]/(250000000*S_ch_ds))-K_ch_UPSD_ds</f>
        <v>-97.899400086720377</v>
      </c>
      <c r="G165">
        <f>-MAX(MIN(20,20-10*LOG10(2*Masks[[#This Row],[f]]/480000000)),12-3)</f>
        <v>-9</v>
      </c>
      <c r="H165">
        <f>-MAX(MIN(20,20-10*LOG10(2*Masks[[#This Row],[f]]/480000000)),12-3)</f>
        <v>-9</v>
      </c>
      <c r="I165">
        <f>10*LOG10(POWER(10,Tx_power_us/10)/F_Nyquist_us)+IF(Masks[[#This Row],[f]]&gt;F_Nyquist_us,-50)</f>
        <v>-148.47032539791456</v>
      </c>
      <c r="J165" s="3">
        <f>10*LOG10(POWER(10,Tx_power_ds/10)/F_Nyquist_ds)+IF(Masks[[#This Row],[f]]&gt;F_Nyquist_ds,-50)</f>
        <v>-148.47032539791456</v>
      </c>
      <c r="K165" s="1">
        <f>20*LOG10(ABS(SIN(PI()*Masks[[#This Row],[f]]/Config!$B$41/2000000000)/(PI()*Masks[[#This Row],[f]]/Config!$B$41/2000000000)))+Tx_power_us-10*LOG10(F_Nyquist_us)+1.11</f>
        <v>-101.72958864351557</v>
      </c>
      <c r="L165" s="1">
        <f>20*LOG10(ABS(SIN(PI()*Masks[[#This Row],[f]]/Config!$B$41/2000000000)/(PI()*Masks[[#This Row],[f]]/Config!$B$41/2000000000)))+Tx_power_ds-10*LOG10(F_Nyquist_ds)+1.11</f>
        <v>-101.72958864351557</v>
      </c>
      <c r="M165" s="1">
        <f>10*LOG10(1/(1+(Masks[[#This Row],[f]]/Config!$B$41/1000000000)^6))+Tx_power_us-10*LOG10(F_Nyquist_us)+0.45</f>
        <v>-101.70697845643498</v>
      </c>
      <c r="N165" s="1">
        <f>10*LOG10(1/(1+(Masks[[#This Row],[f]]/Config!$C$41/1000000000)^6))+Tx_power_ds-10*LOG10(F_Nyquist_ds)+0.45</f>
        <v>-101.70697845643498</v>
      </c>
      <c r="O165" s="3">
        <f>IF(Masks[[#This Row],[f]]&gt;F_Nyquist_us,0,1)</f>
        <v>0</v>
      </c>
      <c r="P165" s="3">
        <f>IF(Masks[[#This Row],[f]]&gt;F_Nyquist_ds,0,1)</f>
        <v>0</v>
      </c>
      <c r="Q165" s="2">
        <f>Config!B$40</f>
        <v>-41.640813746660612</v>
      </c>
      <c r="R165" s="3">
        <f>IF(Config!B$8&gt;0,10*LOG10($X$1*Masks[[#This Row],[f]]+Config!B$8*0.00073),-1000)</f>
        <v>-8.9150262865174099</v>
      </c>
      <c r="S165" s="3">
        <f>10*LOG10((10^(Masks[[#This Row],[wire_echo]]/10))+(10^(Masks[[#This Row],[connector_echo]]/10)))</f>
        <v>-8.9127084133578887</v>
      </c>
      <c r="T165" s="54"/>
      <c r="U165" s="54"/>
    </row>
    <row r="166" spans="1:21" x14ac:dyDescent="0.25">
      <c r="A166" s="2">
        <v>-101.78964943717202</v>
      </c>
      <c r="B166" s="2">
        <v>-101.78964943717202</v>
      </c>
      <c r="D166">
        <f>Calculate[[#This Row],[Freq]]</f>
        <v>7425000000</v>
      </c>
      <c r="E166" s="2">
        <f>MIN(-90, -89-Masks[[#This Row],[f]]/(600000000*S_ch_us),-82-Masks[[#This Row],[f]]/(250000000*S_ch_us))-K_ch_UPSD_us</f>
        <v>-97.929400086720378</v>
      </c>
      <c r="F166" s="2">
        <f>MIN(-90, -89-Masks[[#This Row],[f]]/(600000000*S_ch_ds),-82-Masks[[#This Row],[f]]/(250000000*S_ch_ds))-K_ch_UPSD_ds</f>
        <v>-97.929400086720378</v>
      </c>
      <c r="G166">
        <f>-MAX(MIN(20,20-10*LOG10(2*Masks[[#This Row],[f]]/480000000)),12-3)</f>
        <v>-9</v>
      </c>
      <c r="H166">
        <f>-MAX(MIN(20,20-10*LOG10(2*Masks[[#This Row],[f]]/480000000)),12-3)</f>
        <v>-9</v>
      </c>
      <c r="I166">
        <f>10*LOG10(POWER(10,Tx_power_us/10)/F_Nyquist_us)+IF(Masks[[#This Row],[f]]&gt;F_Nyquist_us,-50)</f>
        <v>-148.47032539791456</v>
      </c>
      <c r="J166" s="3">
        <f>10*LOG10(POWER(10,Tx_power_ds/10)/F_Nyquist_ds)+IF(Masks[[#This Row],[f]]&gt;F_Nyquist_ds,-50)</f>
        <v>-148.47032539791456</v>
      </c>
      <c r="K166" s="1">
        <f>20*LOG10(ABS(SIN(PI()*Masks[[#This Row],[f]]/Config!$B$41/2000000000)/(PI()*Masks[[#This Row],[f]]/Config!$B$41/2000000000)))+Tx_power_us-10*LOG10(F_Nyquist_us)+1.11</f>
        <v>-101.78964943717202</v>
      </c>
      <c r="L166" s="1">
        <f>20*LOG10(ABS(SIN(PI()*Masks[[#This Row],[f]]/Config!$B$41/2000000000)/(PI()*Masks[[#This Row],[f]]/Config!$B$41/2000000000)))+Tx_power_ds-10*LOG10(F_Nyquist_ds)+1.11</f>
        <v>-101.78964943717202</v>
      </c>
      <c r="M166" s="1">
        <f>10*LOG10(1/(1+(Masks[[#This Row],[f]]/Config!$B$41/1000000000)^6))+Tx_power_us-10*LOG10(F_Nyquist_us)+0.45</f>
        <v>-101.79830950215653</v>
      </c>
      <c r="N166" s="1">
        <f>10*LOG10(1/(1+(Masks[[#This Row],[f]]/Config!$C$41/1000000000)^6))+Tx_power_ds-10*LOG10(F_Nyquist_ds)+0.45</f>
        <v>-101.79830950215653</v>
      </c>
      <c r="O166" s="3">
        <f>IF(Masks[[#This Row],[f]]&gt;F_Nyquist_us,0,1)</f>
        <v>0</v>
      </c>
      <c r="P166" s="3">
        <f>IF(Masks[[#This Row],[f]]&gt;F_Nyquist_ds,0,1)</f>
        <v>0</v>
      </c>
      <c r="Q166" s="2">
        <f>Config!B$40</f>
        <v>-41.640813746660612</v>
      </c>
      <c r="R166" s="3">
        <f>IF(Config!B$8&gt;0,10*LOG10($X$1*Masks[[#This Row],[f]]+Config!B$8*0.00073),-1000)</f>
        <v>-8.8892240338493043</v>
      </c>
      <c r="S166" s="3">
        <f>10*LOG10((10^(Masks[[#This Row],[wire_echo]]/10))+(10^(Masks[[#This Row],[connector_echo]]/10)))</f>
        <v>-8.8869198871420068</v>
      </c>
      <c r="T166" s="54"/>
      <c r="U166" s="54"/>
    </row>
    <row r="167" spans="1:21" x14ac:dyDescent="0.25">
      <c r="A167" s="2">
        <v>-101.85027586422964</v>
      </c>
      <c r="B167" s="2">
        <v>-101.85027586422964</v>
      </c>
      <c r="D167">
        <f>Calculate[[#This Row],[Freq]]</f>
        <v>7470000000</v>
      </c>
      <c r="E167" s="2">
        <f>MIN(-90, -89-Masks[[#This Row],[f]]/(600000000*S_ch_us),-82-Masks[[#This Row],[f]]/(250000000*S_ch_us))-K_ch_UPSD_us</f>
        <v>-97.959400086720379</v>
      </c>
      <c r="F167" s="2">
        <f>MIN(-90, -89-Masks[[#This Row],[f]]/(600000000*S_ch_ds),-82-Masks[[#This Row],[f]]/(250000000*S_ch_ds))-K_ch_UPSD_ds</f>
        <v>-97.959400086720379</v>
      </c>
      <c r="G167">
        <f>-MAX(MIN(20,20-10*LOG10(2*Masks[[#This Row],[f]]/480000000)),12-3)</f>
        <v>-9</v>
      </c>
      <c r="H167">
        <f>-MAX(MIN(20,20-10*LOG10(2*Masks[[#This Row],[f]]/480000000)),12-3)</f>
        <v>-9</v>
      </c>
      <c r="I167">
        <f>10*LOG10(POWER(10,Tx_power_us/10)/F_Nyquist_us)+IF(Masks[[#This Row],[f]]&gt;F_Nyquist_us,-50)</f>
        <v>-148.47032539791456</v>
      </c>
      <c r="J167" s="3">
        <f>10*LOG10(POWER(10,Tx_power_ds/10)/F_Nyquist_ds)+IF(Masks[[#This Row],[f]]&gt;F_Nyquist_ds,-50)</f>
        <v>-148.47032539791456</v>
      </c>
      <c r="K167" s="1">
        <f>20*LOG10(ABS(SIN(PI()*Masks[[#This Row],[f]]/Config!$B$41/2000000000)/(PI()*Masks[[#This Row],[f]]/Config!$B$41/2000000000)))+Tx_power_us-10*LOG10(F_Nyquist_us)+1.11</f>
        <v>-101.85027586422964</v>
      </c>
      <c r="L167" s="1">
        <f>20*LOG10(ABS(SIN(PI()*Masks[[#This Row],[f]]/Config!$B$41/2000000000)/(PI()*Masks[[#This Row],[f]]/Config!$B$41/2000000000)))+Tx_power_ds-10*LOG10(F_Nyquist_ds)+1.11</f>
        <v>-101.85027586422964</v>
      </c>
      <c r="M167" s="1">
        <f>10*LOG10(1/(1+(Masks[[#This Row],[f]]/Config!$B$41/1000000000)^6))+Tx_power_us-10*LOG10(F_Nyquist_us)+0.45</f>
        <v>-101.89048243386969</v>
      </c>
      <c r="N167" s="1">
        <f>10*LOG10(1/(1+(Masks[[#This Row],[f]]/Config!$C$41/1000000000)^6))+Tx_power_ds-10*LOG10(F_Nyquist_ds)+0.45</f>
        <v>-101.89048243386969</v>
      </c>
      <c r="O167" s="3">
        <f>IF(Masks[[#This Row],[f]]&gt;F_Nyquist_us,0,1)</f>
        <v>0</v>
      </c>
      <c r="P167" s="3">
        <f>IF(Masks[[#This Row],[f]]&gt;F_Nyquist_ds,0,1)</f>
        <v>0</v>
      </c>
      <c r="Q167" s="2">
        <f>Config!B$40</f>
        <v>-41.640813746660612</v>
      </c>
      <c r="R167" s="3">
        <f>IF(Config!B$8&gt;0,10*LOG10($X$1*Masks[[#This Row],[f]]+Config!B$8*0.00073),-1000)</f>
        <v>-8.8635741722826005</v>
      </c>
      <c r="S167" s="3">
        <f>10*LOG10((10^(Masks[[#This Row],[wire_echo]]/10))+(10^(Masks[[#This Row],[connector_echo]]/10)))</f>
        <v>-8.8612835904084442</v>
      </c>
      <c r="T167" s="54"/>
      <c r="U167" s="54"/>
    </row>
    <row r="168" spans="1:21" x14ac:dyDescent="0.25">
      <c r="A168" s="2">
        <v>-101.91147341764135</v>
      </c>
      <c r="B168" s="2">
        <v>-101.91147341764135</v>
      </c>
      <c r="D168">
        <f>Calculate[[#This Row],[Freq]]</f>
        <v>7515000000</v>
      </c>
      <c r="E168" s="2">
        <f>MIN(-90, -89-Masks[[#This Row],[f]]/(600000000*S_ch_us),-82-Masks[[#This Row],[f]]/(250000000*S_ch_us))-K_ch_UPSD_us</f>
        <v>-98.003400086720376</v>
      </c>
      <c r="F168" s="2">
        <f>MIN(-90, -89-Masks[[#This Row],[f]]/(600000000*S_ch_ds),-82-Masks[[#This Row],[f]]/(250000000*S_ch_ds))-K_ch_UPSD_ds</f>
        <v>-98.003400086720376</v>
      </c>
      <c r="G168">
        <f>-MAX(MIN(20,20-10*LOG10(2*Masks[[#This Row],[f]]/480000000)),12-3)</f>
        <v>-9</v>
      </c>
      <c r="H168">
        <f>-MAX(MIN(20,20-10*LOG10(2*Masks[[#This Row],[f]]/480000000)),12-3)</f>
        <v>-9</v>
      </c>
      <c r="I168">
        <f>10*LOG10(POWER(10,Tx_power_us/10)/F_Nyquist_us)+IF(Masks[[#This Row],[f]]&gt;F_Nyquist_us,-50)</f>
        <v>-148.47032539791456</v>
      </c>
      <c r="J168" s="3">
        <f>10*LOG10(POWER(10,Tx_power_ds/10)/F_Nyquist_ds)+IF(Masks[[#This Row],[f]]&gt;F_Nyquist_ds,-50)</f>
        <v>-148.47032539791456</v>
      </c>
      <c r="K168" s="1">
        <f>20*LOG10(ABS(SIN(PI()*Masks[[#This Row],[f]]/Config!$B$41/2000000000)/(PI()*Masks[[#This Row],[f]]/Config!$B$41/2000000000)))+Tx_power_us-10*LOG10(F_Nyquist_us)+1.11</f>
        <v>-101.91147341764135</v>
      </c>
      <c r="L168" s="1">
        <f>20*LOG10(ABS(SIN(PI()*Masks[[#This Row],[f]]/Config!$B$41/2000000000)/(PI()*Masks[[#This Row],[f]]/Config!$B$41/2000000000)))+Tx_power_ds-10*LOG10(F_Nyquist_ds)+1.11</f>
        <v>-101.91147341764135</v>
      </c>
      <c r="M168" s="1">
        <f>10*LOG10(1/(1+(Masks[[#This Row],[f]]/Config!$B$41/1000000000)^6))+Tx_power_us-10*LOG10(F_Nyquist_us)+0.45</f>
        <v>-101.98347029474921</v>
      </c>
      <c r="N168" s="1">
        <f>10*LOG10(1/(1+(Masks[[#This Row],[f]]/Config!$C$41/1000000000)^6))+Tx_power_ds-10*LOG10(F_Nyquist_ds)+0.45</f>
        <v>-101.98347029474921</v>
      </c>
      <c r="O168" s="3">
        <f>IF(Masks[[#This Row],[f]]&gt;F_Nyquist_us,0,1)</f>
        <v>0</v>
      </c>
      <c r="P168" s="3">
        <f>IF(Masks[[#This Row],[f]]&gt;F_Nyquist_ds,0,1)</f>
        <v>0</v>
      </c>
      <c r="Q168" s="2">
        <f>Config!B$40</f>
        <v>-41.640813746660612</v>
      </c>
      <c r="R168" s="3">
        <f>IF(Config!B$8&gt;0,10*LOG10($X$1*Masks[[#This Row],[f]]+Config!B$8*0.00073),-1000)</f>
        <v>-8.8380749123021172</v>
      </c>
      <c r="S168" s="3">
        <f>10*LOG10((10^(Masks[[#This Row],[wire_echo]]/10))+(10^(Masks[[#This Row],[connector_echo]]/10)))</f>
        <v>-8.8357977364797389</v>
      </c>
      <c r="T168" s="54"/>
      <c r="U168" s="54"/>
    </row>
    <row r="169" spans="1:21" x14ac:dyDescent="0.25">
      <c r="A169" s="2">
        <v>-101.973247706094</v>
      </c>
      <c r="B169" s="2">
        <v>-101.973247706094</v>
      </c>
      <c r="D169">
        <f>Calculate[[#This Row],[Freq]]</f>
        <v>7560000000</v>
      </c>
      <c r="E169" s="2">
        <f>MIN(-90, -89-Masks[[#This Row],[f]]/(600000000*S_ch_us),-82-Masks[[#This Row],[f]]/(250000000*S_ch_us))-K_ch_UPSD_us</f>
        <v>-98.075400086720379</v>
      </c>
      <c r="F169" s="2">
        <f>MIN(-90, -89-Masks[[#This Row],[f]]/(600000000*S_ch_ds),-82-Masks[[#This Row],[f]]/(250000000*S_ch_ds))-K_ch_UPSD_ds</f>
        <v>-98.075400086720379</v>
      </c>
      <c r="G169">
        <f>-MAX(MIN(20,20-10*LOG10(2*Masks[[#This Row],[f]]/480000000)),12-3)</f>
        <v>-9</v>
      </c>
      <c r="H169">
        <f>-MAX(MIN(20,20-10*LOG10(2*Masks[[#This Row],[f]]/480000000)),12-3)</f>
        <v>-9</v>
      </c>
      <c r="I169">
        <f>10*LOG10(POWER(10,Tx_power_us/10)/F_Nyquist_us)+IF(Masks[[#This Row],[f]]&gt;F_Nyquist_us,-50)</f>
        <v>-148.47032539791456</v>
      </c>
      <c r="J169" s="3">
        <f>10*LOG10(POWER(10,Tx_power_ds/10)/F_Nyquist_ds)+IF(Masks[[#This Row],[f]]&gt;F_Nyquist_ds,-50)</f>
        <v>-148.47032539791456</v>
      </c>
      <c r="K169" s="1">
        <f>20*LOG10(ABS(SIN(PI()*Masks[[#This Row],[f]]/Config!$B$41/2000000000)/(PI()*Masks[[#This Row],[f]]/Config!$B$41/2000000000)))+Tx_power_us-10*LOG10(F_Nyquist_us)+1.11</f>
        <v>-101.973247706094</v>
      </c>
      <c r="L169" s="1">
        <f>20*LOG10(ABS(SIN(PI()*Masks[[#This Row],[f]]/Config!$B$41/2000000000)/(PI()*Masks[[#This Row],[f]]/Config!$B$41/2000000000)))+Tx_power_ds-10*LOG10(F_Nyquist_ds)+1.11</f>
        <v>-101.973247706094</v>
      </c>
      <c r="M169" s="1">
        <f>10*LOG10(1/(1+(Masks[[#This Row],[f]]/Config!$B$41/1000000000)^6))+Tx_power_us-10*LOG10(F_Nyquist_us)+0.45</f>
        <v>-102.07724606642468</v>
      </c>
      <c r="N169" s="1">
        <f>10*LOG10(1/(1+(Masks[[#This Row],[f]]/Config!$C$41/1000000000)^6))+Tx_power_ds-10*LOG10(F_Nyquist_ds)+0.45</f>
        <v>-102.07724606642468</v>
      </c>
      <c r="O169" s="3">
        <f>IF(Masks[[#This Row],[f]]&gt;F_Nyquist_us,0,1)</f>
        <v>0</v>
      </c>
      <c r="P169" s="3">
        <f>IF(Masks[[#This Row],[f]]&gt;F_Nyquist_ds,0,1)</f>
        <v>0</v>
      </c>
      <c r="Q169" s="2">
        <f>Config!B$40</f>
        <v>-41.640813746660612</v>
      </c>
      <c r="R169" s="3">
        <f>IF(Config!B$8&gt;0,10*LOG10($X$1*Masks[[#This Row],[f]]+Config!B$8*0.00073),-1000)</f>
        <v>-8.8127244957299471</v>
      </c>
      <c r="S169" s="3">
        <f>10*LOG10((10^(Masks[[#This Row],[wire_echo]]/10))+(10^(Masks[[#This Row],[connector_echo]]/10)))</f>
        <v>-8.8104605699496474</v>
      </c>
      <c r="T169" s="54"/>
      <c r="U169" s="54"/>
    </row>
    <row r="170" spans="1:21" x14ac:dyDescent="0.25">
      <c r="A170" s="2">
        <v>-102.03560445715382</v>
      </c>
      <c r="B170" s="2">
        <v>-102.03560445715382</v>
      </c>
      <c r="D170">
        <f>Calculate[[#This Row],[Freq]]</f>
        <v>7605000000</v>
      </c>
      <c r="E170" s="2">
        <f>MIN(-90, -89-Masks[[#This Row],[f]]/(600000000*S_ch_us),-82-Masks[[#This Row],[f]]/(250000000*S_ch_us))-K_ch_UPSD_us</f>
        <v>-98.147400086720381</v>
      </c>
      <c r="F170" s="2">
        <f>MIN(-90, -89-Masks[[#This Row],[f]]/(600000000*S_ch_ds),-82-Masks[[#This Row],[f]]/(250000000*S_ch_ds))-K_ch_UPSD_ds</f>
        <v>-98.147400086720381</v>
      </c>
      <c r="G170">
        <f>-MAX(MIN(20,20-10*LOG10(2*Masks[[#This Row],[f]]/480000000)),12-3)</f>
        <v>-9</v>
      </c>
      <c r="H170">
        <f>-MAX(MIN(20,20-10*LOG10(2*Masks[[#This Row],[f]]/480000000)),12-3)</f>
        <v>-9</v>
      </c>
      <c r="I170">
        <f>10*LOG10(POWER(10,Tx_power_us/10)/F_Nyquist_us)+IF(Masks[[#This Row],[f]]&gt;F_Nyquist_us,-50)</f>
        <v>-148.47032539791456</v>
      </c>
      <c r="J170" s="3">
        <f>10*LOG10(POWER(10,Tx_power_ds/10)/F_Nyquist_ds)+IF(Masks[[#This Row],[f]]&gt;F_Nyquist_ds,-50)</f>
        <v>-148.47032539791456</v>
      </c>
      <c r="K170" s="1">
        <f>20*LOG10(ABS(SIN(PI()*Masks[[#This Row],[f]]/Config!$B$41/2000000000)/(PI()*Masks[[#This Row],[f]]/Config!$B$41/2000000000)))+Tx_power_us-10*LOG10(F_Nyquist_us)+1.11</f>
        <v>-102.03560445715382</v>
      </c>
      <c r="L170" s="1">
        <f>20*LOG10(ABS(SIN(PI()*Masks[[#This Row],[f]]/Config!$B$41/2000000000)/(PI()*Masks[[#This Row],[f]]/Config!$B$41/2000000000)))+Tx_power_ds-10*LOG10(F_Nyquist_ds)+1.11</f>
        <v>-102.03560445715382</v>
      </c>
      <c r="M170" s="1">
        <f>10*LOG10(1/(1+(Masks[[#This Row],[f]]/Config!$B$41/1000000000)^6))+Tx_power_us-10*LOG10(F_Nyquist_us)+0.45</f>
        <v>-102.17178271556531</v>
      </c>
      <c r="N170" s="1">
        <f>10*LOG10(1/(1+(Masks[[#This Row],[f]]/Config!$C$41/1000000000)^6))+Tx_power_ds-10*LOG10(F_Nyquist_ds)+0.45</f>
        <v>-102.17178271556531</v>
      </c>
      <c r="O170" s="3">
        <f>IF(Masks[[#This Row],[f]]&gt;F_Nyquist_us,0,1)</f>
        <v>0</v>
      </c>
      <c r="P170" s="3">
        <f>IF(Masks[[#This Row],[f]]&gt;F_Nyquist_ds,0,1)</f>
        <v>0</v>
      </c>
      <c r="Q170" s="2">
        <f>Config!B$40</f>
        <v>-41.640813746660612</v>
      </c>
      <c r="R170" s="3">
        <f>IF(Config!B$8&gt;0,10*LOG10($X$1*Masks[[#This Row],[f]]+Config!B$8*0.00073),-1000)</f>
        <v>-8.787521194998007</v>
      </c>
      <c r="S170" s="3">
        <f>10*LOG10((10^(Masks[[#This Row],[wire_echo]]/10))+(10^(Masks[[#This Row],[connector_echo]]/10)))</f>
        <v>-8.7852703659576239</v>
      </c>
      <c r="T170" s="54"/>
      <c r="U170" s="54"/>
    </row>
    <row r="171" spans="1:21" x14ac:dyDescent="0.25">
      <c r="A171" s="2">
        <v>-102.09854952052203</v>
      </c>
      <c r="B171" s="2">
        <v>-102.09854952052203</v>
      </c>
      <c r="D171">
        <f>Calculate[[#This Row],[Freq]]</f>
        <v>7650000000</v>
      </c>
      <c r="E171" s="2">
        <f>MIN(-90, -89-Masks[[#This Row],[f]]/(600000000*S_ch_us),-82-Masks[[#This Row],[f]]/(250000000*S_ch_us))-K_ch_UPSD_us</f>
        <v>-98.21940008672037</v>
      </c>
      <c r="F171" s="2">
        <f>MIN(-90, -89-Masks[[#This Row],[f]]/(600000000*S_ch_ds),-82-Masks[[#This Row],[f]]/(250000000*S_ch_ds))-K_ch_UPSD_ds</f>
        <v>-98.21940008672037</v>
      </c>
      <c r="G171">
        <f>-MAX(MIN(20,20-10*LOG10(2*Masks[[#This Row],[f]]/480000000)),12-3)</f>
        <v>-9</v>
      </c>
      <c r="H171">
        <f>-MAX(MIN(20,20-10*LOG10(2*Masks[[#This Row],[f]]/480000000)),12-3)</f>
        <v>-9</v>
      </c>
      <c r="I171">
        <f>10*LOG10(POWER(10,Tx_power_us/10)/F_Nyquist_us)+IF(Masks[[#This Row],[f]]&gt;F_Nyquist_us,-50)</f>
        <v>-148.47032539791456</v>
      </c>
      <c r="J171" s="3">
        <f>10*LOG10(POWER(10,Tx_power_ds/10)/F_Nyquist_ds)+IF(Masks[[#This Row],[f]]&gt;F_Nyquist_ds,-50)</f>
        <v>-148.47032539791456</v>
      </c>
      <c r="K171" s="1">
        <f>20*LOG10(ABS(SIN(PI()*Masks[[#This Row],[f]]/Config!$B$41/2000000000)/(PI()*Masks[[#This Row],[f]]/Config!$B$41/2000000000)))+Tx_power_us-10*LOG10(F_Nyquist_us)+1.11</f>
        <v>-102.09854952052203</v>
      </c>
      <c r="L171" s="1">
        <f>20*LOG10(ABS(SIN(PI()*Masks[[#This Row],[f]]/Config!$B$41/2000000000)/(PI()*Masks[[#This Row],[f]]/Config!$B$41/2000000000)))+Tx_power_ds-10*LOG10(F_Nyquist_ds)+1.11</f>
        <v>-102.09854952052203</v>
      </c>
      <c r="M171" s="1">
        <f>10*LOG10(1/(1+(Masks[[#This Row],[f]]/Config!$B$41/1000000000)^6))+Tx_power_us-10*LOG10(F_Nyquist_us)+0.45</f>
        <v>-102.26705323851091</v>
      </c>
      <c r="N171" s="1">
        <f>10*LOG10(1/(1+(Masks[[#This Row],[f]]/Config!$C$41/1000000000)^6))+Tx_power_ds-10*LOG10(F_Nyquist_ds)+0.45</f>
        <v>-102.26705323851091</v>
      </c>
      <c r="O171" s="3">
        <f>IF(Masks[[#This Row],[f]]&gt;F_Nyquist_us,0,1)</f>
        <v>0</v>
      </c>
      <c r="P171" s="3">
        <f>IF(Masks[[#This Row],[f]]&gt;F_Nyquist_ds,0,1)</f>
        <v>0</v>
      </c>
      <c r="Q171" s="2">
        <f>Config!B$40</f>
        <v>-41.640813746660612</v>
      </c>
      <c r="R171" s="3">
        <f>IF(Config!B$8&gt;0,10*LOG10($X$1*Masks[[#This Row],[f]]+Config!B$8*0.00073),-1000)</f>
        <v>-8.7624633124415876</v>
      </c>
      <c r="S171" s="3">
        <f>10*LOG10((10^(Masks[[#This Row],[wire_echo]]/10))+(10^(Masks[[#This Row],[connector_echo]]/10)))</f>
        <v>-8.7602254294842012</v>
      </c>
      <c r="T171" s="54"/>
      <c r="U171" s="54"/>
    </row>
    <row r="172" spans="1:21" x14ac:dyDescent="0.25">
      <c r="A172" s="2">
        <v>-102.16208887140507</v>
      </c>
      <c r="B172" s="2">
        <v>-102.16208887140507</v>
      </c>
      <c r="D172">
        <f>Calculate[[#This Row],[Freq]]</f>
        <v>7695000000</v>
      </c>
      <c r="E172" s="2">
        <f>MIN(-90, -89-Masks[[#This Row],[f]]/(600000000*S_ch_us),-82-Masks[[#This Row],[f]]/(250000000*S_ch_us))-K_ch_UPSD_us</f>
        <v>-98.291400086720373</v>
      </c>
      <c r="F172" s="2">
        <f>MIN(-90, -89-Masks[[#This Row],[f]]/(600000000*S_ch_ds),-82-Masks[[#This Row],[f]]/(250000000*S_ch_ds))-K_ch_UPSD_ds</f>
        <v>-98.291400086720373</v>
      </c>
      <c r="G172">
        <f>-MAX(MIN(20,20-10*LOG10(2*Masks[[#This Row],[f]]/480000000)),12-3)</f>
        <v>-9</v>
      </c>
      <c r="H172">
        <f>-MAX(MIN(20,20-10*LOG10(2*Masks[[#This Row],[f]]/480000000)),12-3)</f>
        <v>-9</v>
      </c>
      <c r="I172">
        <f>10*LOG10(POWER(10,Tx_power_us/10)/F_Nyquist_us)+IF(Masks[[#This Row],[f]]&gt;F_Nyquist_us,-50)</f>
        <v>-148.47032539791456</v>
      </c>
      <c r="J172" s="3">
        <f>10*LOG10(POWER(10,Tx_power_ds/10)/F_Nyquist_ds)+IF(Masks[[#This Row],[f]]&gt;F_Nyquist_ds,-50)</f>
        <v>-148.47032539791456</v>
      </c>
      <c r="K172" s="1">
        <f>20*LOG10(ABS(SIN(PI()*Masks[[#This Row],[f]]/Config!$B$41/2000000000)/(PI()*Masks[[#This Row],[f]]/Config!$B$41/2000000000)))+Tx_power_us-10*LOG10(F_Nyquist_us)+1.11</f>
        <v>-102.16208887140507</v>
      </c>
      <c r="L172" s="1">
        <f>20*LOG10(ABS(SIN(PI()*Masks[[#This Row],[f]]/Config!$B$41/2000000000)/(PI()*Masks[[#This Row],[f]]/Config!$B$41/2000000000)))+Tx_power_ds-10*LOG10(F_Nyquist_ds)+1.11</f>
        <v>-102.16208887140507</v>
      </c>
      <c r="M172" s="1">
        <f>10*LOG10(1/(1+(Masks[[#This Row],[f]]/Config!$B$41/1000000000)^6))+Tx_power_us-10*LOG10(F_Nyquist_us)+0.45</f>
        <v>-102.36303070386846</v>
      </c>
      <c r="N172" s="1">
        <f>10*LOG10(1/(1+(Masks[[#This Row],[f]]/Config!$C$41/1000000000)^6))+Tx_power_ds-10*LOG10(F_Nyquist_ds)+0.45</f>
        <v>-102.36303070386846</v>
      </c>
      <c r="O172" s="3">
        <f>IF(Masks[[#This Row],[f]]&gt;F_Nyquist_us,0,1)</f>
        <v>0</v>
      </c>
      <c r="P172" s="3">
        <f>IF(Masks[[#This Row],[f]]&gt;F_Nyquist_ds,0,1)</f>
        <v>0</v>
      </c>
      <c r="Q172" s="2">
        <f>Config!B$40</f>
        <v>-41.640813746660612</v>
      </c>
      <c r="R172" s="3">
        <f>IF(Config!B$8&gt;0,10*LOG10($X$1*Masks[[#This Row],[f]]+Config!B$8*0.00073),-1000)</f>
        <v>-8.7375491796131559</v>
      </c>
      <c r="S172" s="3">
        <f>10*LOG10((10^(Masks[[#This Row],[wire_echo]]/10))+(10^(Masks[[#This Row],[connector_echo]]/10)))</f>
        <v>-8.7353240946665771</v>
      </c>
      <c r="T172" s="54"/>
      <c r="U172" s="54"/>
    </row>
    <row r="173" spans="1:21" x14ac:dyDescent="0.25">
      <c r="A173" s="2">
        <v>-102.22622861400473</v>
      </c>
      <c r="B173" s="2">
        <v>-102.22622861400473</v>
      </c>
      <c r="D173">
        <f>Calculate[[#This Row],[Freq]]</f>
        <v>7740000000</v>
      </c>
      <c r="E173" s="2">
        <f>MIN(-90, -89-Masks[[#This Row],[f]]/(600000000*S_ch_us),-82-Masks[[#This Row],[f]]/(250000000*S_ch_us))-K_ch_UPSD_us</f>
        <v>-98.363400086720375</v>
      </c>
      <c r="F173" s="2">
        <f>MIN(-90, -89-Masks[[#This Row],[f]]/(600000000*S_ch_ds),-82-Masks[[#This Row],[f]]/(250000000*S_ch_ds))-K_ch_UPSD_ds</f>
        <v>-98.363400086720375</v>
      </c>
      <c r="G173">
        <f>-MAX(MIN(20,20-10*LOG10(2*Masks[[#This Row],[f]]/480000000)),12-3)</f>
        <v>-9</v>
      </c>
      <c r="H173">
        <f>-MAX(MIN(20,20-10*LOG10(2*Masks[[#This Row],[f]]/480000000)),12-3)</f>
        <v>-9</v>
      </c>
      <c r="I173">
        <f>10*LOG10(POWER(10,Tx_power_us/10)/F_Nyquist_us)+IF(Masks[[#This Row],[f]]&gt;F_Nyquist_us,-50)</f>
        <v>-148.47032539791456</v>
      </c>
      <c r="J173" s="3">
        <f>10*LOG10(POWER(10,Tx_power_ds/10)/F_Nyquist_ds)+IF(Masks[[#This Row],[f]]&gt;F_Nyquist_ds,-50)</f>
        <v>-148.47032539791456</v>
      </c>
      <c r="K173" s="1">
        <f>20*LOG10(ABS(SIN(PI()*Masks[[#This Row],[f]]/Config!$B$41/2000000000)/(PI()*Masks[[#This Row],[f]]/Config!$B$41/2000000000)))+Tx_power_us-10*LOG10(F_Nyquist_us)+1.11</f>
        <v>-102.22622861400473</v>
      </c>
      <c r="L173" s="1">
        <f>20*LOG10(ABS(SIN(PI()*Masks[[#This Row],[f]]/Config!$B$41/2000000000)/(PI()*Masks[[#This Row],[f]]/Config!$B$41/2000000000)))+Tx_power_ds-10*LOG10(F_Nyquist_ds)+1.11</f>
        <v>-102.22622861400473</v>
      </c>
      <c r="M173" s="1">
        <f>10*LOG10(1/(1+(Masks[[#This Row],[f]]/Config!$B$41/1000000000)^6))+Tx_power_us-10*LOG10(F_Nyquist_us)+0.45</f>
        <v>-102.45968829301069</v>
      </c>
      <c r="N173" s="1">
        <f>10*LOG10(1/(1+(Masks[[#This Row],[f]]/Config!$C$41/1000000000)^6))+Tx_power_ds-10*LOG10(F_Nyquist_ds)+0.45</f>
        <v>-102.45968829301069</v>
      </c>
      <c r="O173" s="3">
        <f>IF(Masks[[#This Row],[f]]&gt;F_Nyquist_us,0,1)</f>
        <v>0</v>
      </c>
      <c r="P173" s="3">
        <f>IF(Masks[[#This Row],[f]]&gt;F_Nyquist_ds,0,1)</f>
        <v>0</v>
      </c>
      <c r="Q173" s="2">
        <f>Config!B$40</f>
        <v>-41.640813746660612</v>
      </c>
      <c r="R173" s="3">
        <f>IF(Config!B$8&gt;0,10*LOG10($X$1*Masks[[#This Row],[f]]+Config!B$8*0.00073),-1000)</f>
        <v>-8.7127771566157328</v>
      </c>
      <c r="S173" s="3">
        <f>10*LOG10((10^(Masks[[#This Row],[wire_echo]]/10))+(10^(Masks[[#This Row],[connector_echo]]/10)))</f>
        <v>-8.7105647241337163</v>
      </c>
      <c r="T173" s="54"/>
      <c r="U173" s="54"/>
    </row>
    <row r="174" spans="1:21" x14ac:dyDescent="0.25">
      <c r="A174" s="2">
        <v>-102.29097498513272</v>
      </c>
      <c r="B174" s="2">
        <v>-102.29097498513272</v>
      </c>
      <c r="D174">
        <f>Calculate[[#This Row],[Freq]]</f>
        <v>7785000000</v>
      </c>
      <c r="E174" s="2">
        <f>MIN(-90, -89-Masks[[#This Row],[f]]/(600000000*S_ch_us),-82-Masks[[#This Row],[f]]/(250000000*S_ch_us))-K_ch_UPSD_us</f>
        <v>-98.435400086720378</v>
      </c>
      <c r="F174" s="2">
        <f>MIN(-90, -89-Masks[[#This Row],[f]]/(600000000*S_ch_ds),-82-Masks[[#This Row],[f]]/(250000000*S_ch_ds))-K_ch_UPSD_ds</f>
        <v>-98.435400086720378</v>
      </c>
      <c r="G174">
        <f>-MAX(MIN(20,20-10*LOG10(2*Masks[[#This Row],[f]]/480000000)),12-3)</f>
        <v>-9</v>
      </c>
      <c r="H174">
        <f>-MAX(MIN(20,20-10*LOG10(2*Masks[[#This Row],[f]]/480000000)),12-3)</f>
        <v>-9</v>
      </c>
      <c r="I174">
        <f>10*LOG10(POWER(10,Tx_power_us/10)/F_Nyquist_us)+IF(Masks[[#This Row],[f]]&gt;F_Nyquist_us,-50)</f>
        <v>-148.47032539791456</v>
      </c>
      <c r="J174" s="3">
        <f>10*LOG10(POWER(10,Tx_power_ds/10)/F_Nyquist_ds)+IF(Masks[[#This Row],[f]]&gt;F_Nyquist_ds,-50)</f>
        <v>-148.47032539791456</v>
      </c>
      <c r="K174" s="1">
        <f>20*LOG10(ABS(SIN(PI()*Masks[[#This Row],[f]]/Config!$B$41/2000000000)/(PI()*Masks[[#This Row],[f]]/Config!$B$41/2000000000)))+Tx_power_us-10*LOG10(F_Nyquist_us)+1.11</f>
        <v>-102.29097498513272</v>
      </c>
      <c r="L174" s="1">
        <f>20*LOG10(ABS(SIN(PI()*Masks[[#This Row],[f]]/Config!$B$41/2000000000)/(PI()*Masks[[#This Row],[f]]/Config!$B$41/2000000000)))+Tx_power_ds-10*LOG10(F_Nyquist_ds)+1.11</f>
        <v>-102.29097498513272</v>
      </c>
      <c r="M174" s="1">
        <f>10*LOG10(1/(1+(Masks[[#This Row],[f]]/Config!$B$41/1000000000)^6))+Tx_power_us-10*LOG10(F_Nyquist_us)+0.45</f>
        <v>-102.55699933842806</v>
      </c>
      <c r="N174" s="1">
        <f>10*LOG10(1/(1+(Masks[[#This Row],[f]]/Config!$C$41/1000000000)^6))+Tx_power_ds-10*LOG10(F_Nyquist_ds)+0.45</f>
        <v>-102.55699933842806</v>
      </c>
      <c r="O174" s="3">
        <f>IF(Masks[[#This Row],[f]]&gt;F_Nyquist_us,0,1)</f>
        <v>0</v>
      </c>
      <c r="P174" s="3">
        <f>IF(Masks[[#This Row],[f]]&gt;F_Nyquist_ds,0,1)</f>
        <v>0</v>
      </c>
      <c r="Q174" s="2">
        <f>Config!B$40</f>
        <v>-41.640813746660612</v>
      </c>
      <c r="R174" s="3">
        <f>IF(Config!B$8&gt;0,10*LOG10($X$1*Masks[[#This Row],[f]]+Config!B$8*0.00073),-1000)</f>
        <v>-8.6881456314551748</v>
      </c>
      <c r="S174" s="3">
        <f>10*LOG10((10^(Masks[[#This Row],[wire_echo]]/10))+(10^(Masks[[#This Row],[connector_echo]]/10)))</f>
        <v>-8.6859457083602862</v>
      </c>
      <c r="T174" s="54"/>
      <c r="U174" s="54"/>
    </row>
    <row r="175" spans="1:21" x14ac:dyDescent="0.25">
      <c r="A175" s="2">
        <v>-102.35633435795565</v>
      </c>
      <c r="B175" s="2">
        <v>-102.35633435795565</v>
      </c>
      <c r="D175">
        <f>Calculate[[#This Row],[Freq]]</f>
        <v>7830000000</v>
      </c>
      <c r="E175" s="2">
        <f>MIN(-90, -89-Masks[[#This Row],[f]]/(600000000*S_ch_us),-82-Masks[[#This Row],[f]]/(250000000*S_ch_us))-K_ch_UPSD_us</f>
        <v>-98.507400086720381</v>
      </c>
      <c r="F175" s="2">
        <f>MIN(-90, -89-Masks[[#This Row],[f]]/(600000000*S_ch_ds),-82-Masks[[#This Row],[f]]/(250000000*S_ch_ds))-K_ch_UPSD_ds</f>
        <v>-98.507400086720381</v>
      </c>
      <c r="G175">
        <f>-MAX(MIN(20,20-10*LOG10(2*Masks[[#This Row],[f]]/480000000)),12-3)</f>
        <v>-9</v>
      </c>
      <c r="H175">
        <f>-MAX(MIN(20,20-10*LOG10(2*Masks[[#This Row],[f]]/480000000)),12-3)</f>
        <v>-9</v>
      </c>
      <c r="I175">
        <f>10*LOG10(POWER(10,Tx_power_us/10)/F_Nyquist_us)+IF(Masks[[#This Row],[f]]&gt;F_Nyquist_us,-50)</f>
        <v>-148.47032539791456</v>
      </c>
      <c r="J175" s="3">
        <f>10*LOG10(POWER(10,Tx_power_ds/10)/F_Nyquist_ds)+IF(Masks[[#This Row],[f]]&gt;F_Nyquist_ds,-50)</f>
        <v>-148.47032539791456</v>
      </c>
      <c r="K175" s="1">
        <f>20*LOG10(ABS(SIN(PI()*Masks[[#This Row],[f]]/Config!$B$41/2000000000)/(PI()*Masks[[#This Row],[f]]/Config!$B$41/2000000000)))+Tx_power_us-10*LOG10(F_Nyquist_us)+1.11</f>
        <v>-102.35633435795565</v>
      </c>
      <c r="L175" s="1">
        <f>20*LOG10(ABS(SIN(PI()*Masks[[#This Row],[f]]/Config!$B$41/2000000000)/(PI()*Masks[[#This Row],[f]]/Config!$B$41/2000000000)))+Tx_power_ds-10*LOG10(F_Nyquist_ds)+1.11</f>
        <v>-102.35633435795565</v>
      </c>
      <c r="M175" s="1">
        <f>10*LOG10(1/(1+(Masks[[#This Row],[f]]/Config!$B$41/1000000000)^6))+Tx_power_us-10*LOG10(F_Nyquist_us)+0.45</f>
        <v>-102.65493735990148</v>
      </c>
      <c r="N175" s="1">
        <f>10*LOG10(1/(1+(Masks[[#This Row],[f]]/Config!$C$41/1000000000)^6))+Tx_power_ds-10*LOG10(F_Nyquist_ds)+0.45</f>
        <v>-102.65493735990148</v>
      </c>
      <c r="O175" s="3">
        <f>IF(Masks[[#This Row],[f]]&gt;F_Nyquist_us,0,1)</f>
        <v>0</v>
      </c>
      <c r="P175" s="3">
        <f>IF(Masks[[#This Row],[f]]&gt;F_Nyquist_ds,0,1)</f>
        <v>0</v>
      </c>
      <c r="Q175" s="2">
        <f>Config!B$40</f>
        <v>-41.640813746660612</v>
      </c>
      <c r="R175" s="3">
        <f>IF(Config!B$8&gt;0,10*LOG10($X$1*Masks[[#This Row],[f]]+Config!B$8*0.00073),-1000)</f>
        <v>-8.6636530194107237</v>
      </c>
      <c r="S175" s="3">
        <f>10*LOG10((10^(Masks[[#This Row],[wire_echo]]/10))+(10^(Masks[[#This Row],[connector_echo]]/10)))</f>
        <v>-8.6614654650388196</v>
      </c>
      <c r="T175" s="54"/>
      <c r="U175" s="54"/>
    </row>
    <row r="176" spans="1:21" x14ac:dyDescent="0.25">
      <c r="A176" s="2">
        <v>-102.42231324587559</v>
      </c>
      <c r="B176" s="2">
        <v>-102.42231324587559</v>
      </c>
      <c r="D176">
        <f>Calculate[[#This Row],[Freq]]</f>
        <v>7875000000</v>
      </c>
      <c r="E176" s="2">
        <f>MIN(-90, -89-Masks[[#This Row],[f]]/(600000000*S_ch_us),-82-Masks[[#This Row],[f]]/(250000000*S_ch_us))-K_ch_UPSD_us</f>
        <v>-98.579400086720369</v>
      </c>
      <c r="F176" s="2">
        <f>MIN(-90, -89-Masks[[#This Row],[f]]/(600000000*S_ch_ds),-82-Masks[[#This Row],[f]]/(250000000*S_ch_ds))-K_ch_UPSD_ds</f>
        <v>-98.579400086720369</v>
      </c>
      <c r="G176">
        <f>-MAX(MIN(20,20-10*LOG10(2*Masks[[#This Row],[f]]/480000000)),12-3)</f>
        <v>-9</v>
      </c>
      <c r="H176">
        <f>-MAX(MIN(20,20-10*LOG10(2*Masks[[#This Row],[f]]/480000000)),12-3)</f>
        <v>-9</v>
      </c>
      <c r="I176">
        <f>10*LOG10(POWER(10,Tx_power_us/10)/F_Nyquist_us)+IF(Masks[[#This Row],[f]]&gt;F_Nyquist_us,-50)</f>
        <v>-148.47032539791456</v>
      </c>
      <c r="J176" s="3">
        <f>10*LOG10(POWER(10,Tx_power_ds/10)/F_Nyquist_ds)+IF(Masks[[#This Row],[f]]&gt;F_Nyquist_ds,-50)</f>
        <v>-148.47032539791456</v>
      </c>
      <c r="K176" s="1">
        <f>20*LOG10(ABS(SIN(PI()*Masks[[#This Row],[f]]/Config!$B$41/2000000000)/(PI()*Masks[[#This Row],[f]]/Config!$B$41/2000000000)))+Tx_power_us-10*LOG10(F_Nyquist_us)+1.11</f>
        <v>-102.42231324587559</v>
      </c>
      <c r="L176" s="1">
        <f>20*LOG10(ABS(SIN(PI()*Masks[[#This Row],[f]]/Config!$B$41/2000000000)/(PI()*Masks[[#This Row],[f]]/Config!$B$41/2000000000)))+Tx_power_ds-10*LOG10(F_Nyquist_ds)+1.11</f>
        <v>-102.42231324587559</v>
      </c>
      <c r="M176" s="1">
        <f>10*LOG10(1/(1+(Masks[[#This Row],[f]]/Config!$B$41/1000000000)^6))+Tx_power_us-10*LOG10(F_Nyquist_us)+0.45</f>
        <v>-102.75347609847641</v>
      </c>
      <c r="N176" s="1">
        <f>10*LOG10(1/(1+(Masks[[#This Row],[f]]/Config!$C$41/1000000000)^6))+Tx_power_ds-10*LOG10(F_Nyquist_ds)+0.45</f>
        <v>-102.75347609847641</v>
      </c>
      <c r="O176" s="3">
        <f>IF(Masks[[#This Row],[f]]&gt;F_Nyquist_us,0,1)</f>
        <v>0</v>
      </c>
      <c r="P176" s="3">
        <f>IF(Masks[[#This Row],[f]]&gt;F_Nyquist_ds,0,1)</f>
        <v>0</v>
      </c>
      <c r="Q176" s="2">
        <f>Config!B$40</f>
        <v>-41.640813746660612</v>
      </c>
      <c r="R176" s="3">
        <f>IF(Config!B$8&gt;0,10*LOG10($X$1*Masks[[#This Row],[f]]+Config!B$8*0.00073),-1000)</f>
        <v>-8.6392977624231939</v>
      </c>
      <c r="S176" s="3">
        <f>10*LOG10((10^(Masks[[#This Row],[wire_echo]]/10))+(10^(Masks[[#This Row],[connector_echo]]/10)))</f>
        <v>-8.6371224384694543</v>
      </c>
      <c r="T176" s="54"/>
      <c r="U176" s="54"/>
    </row>
    <row r="177" spans="1:21" x14ac:dyDescent="0.25">
      <c r="A177" s="2">
        <v>-102.48891830655252</v>
      </c>
      <c r="B177" s="2">
        <v>-102.48891830655252</v>
      </c>
      <c r="D177">
        <f>Calculate[[#This Row],[Freq]]</f>
        <v>7920000000</v>
      </c>
      <c r="E177" s="2">
        <f>MIN(-90, -89-Masks[[#This Row],[f]]/(600000000*S_ch_us),-82-Masks[[#This Row],[f]]/(250000000*S_ch_us))-K_ch_UPSD_us</f>
        <v>-98.651400086720372</v>
      </c>
      <c r="F177" s="2">
        <f>MIN(-90, -89-Masks[[#This Row],[f]]/(600000000*S_ch_ds),-82-Masks[[#This Row],[f]]/(250000000*S_ch_ds))-K_ch_UPSD_ds</f>
        <v>-98.651400086720372</v>
      </c>
      <c r="G177">
        <f>-MAX(MIN(20,20-10*LOG10(2*Masks[[#This Row],[f]]/480000000)),12-3)</f>
        <v>-9</v>
      </c>
      <c r="H177">
        <f>-MAX(MIN(20,20-10*LOG10(2*Masks[[#This Row],[f]]/480000000)),12-3)</f>
        <v>-9</v>
      </c>
      <c r="I177">
        <f>10*LOG10(POWER(10,Tx_power_us/10)/F_Nyquist_us)+IF(Masks[[#This Row],[f]]&gt;F_Nyquist_us,-50)</f>
        <v>-148.47032539791456</v>
      </c>
      <c r="J177" s="3">
        <f>10*LOG10(POWER(10,Tx_power_ds/10)/F_Nyquist_ds)+IF(Masks[[#This Row],[f]]&gt;F_Nyquist_ds,-50)</f>
        <v>-148.47032539791456</v>
      </c>
      <c r="K177" s="1">
        <f>20*LOG10(ABS(SIN(PI()*Masks[[#This Row],[f]]/Config!$B$41/2000000000)/(PI()*Masks[[#This Row],[f]]/Config!$B$41/2000000000)))+Tx_power_us-10*LOG10(F_Nyquist_us)+1.11</f>
        <v>-102.48891830655252</v>
      </c>
      <c r="L177" s="1">
        <f>20*LOG10(ABS(SIN(PI()*Masks[[#This Row],[f]]/Config!$B$41/2000000000)/(PI()*Masks[[#This Row],[f]]/Config!$B$41/2000000000)))+Tx_power_ds-10*LOG10(F_Nyquist_ds)+1.11</f>
        <v>-102.48891830655252</v>
      </c>
      <c r="M177" s="1">
        <f>10*LOG10(1/(1+(Masks[[#This Row],[f]]/Config!$B$41/1000000000)^6))+Tx_power_us-10*LOG10(F_Nyquist_us)+0.45</f>
        <v>-102.85258954823286</v>
      </c>
      <c r="N177" s="1">
        <f>10*LOG10(1/(1+(Masks[[#This Row],[f]]/Config!$C$41/1000000000)^6))+Tx_power_ds-10*LOG10(F_Nyquist_ds)+0.45</f>
        <v>-102.85258954823286</v>
      </c>
      <c r="O177" s="3">
        <f>IF(Masks[[#This Row],[f]]&gt;F_Nyquist_us,0,1)</f>
        <v>0</v>
      </c>
      <c r="P177" s="3">
        <f>IF(Masks[[#This Row],[f]]&gt;F_Nyquist_ds,0,1)</f>
        <v>0</v>
      </c>
      <c r="Q177" s="2">
        <f>Config!B$40</f>
        <v>-41.640813746660612</v>
      </c>
      <c r="R177" s="3">
        <f>IF(Config!B$8&gt;0,10*LOG10($X$1*Masks[[#This Row],[f]]+Config!B$8*0.00073),-1000)</f>
        <v>-8.6150783285002426</v>
      </c>
      <c r="S177" s="3">
        <f>10*LOG10((10^(Masks[[#This Row],[wire_echo]]/10))+(10^(Masks[[#This Row],[connector_echo]]/10)))</f>
        <v>-8.6129150989666989</v>
      </c>
      <c r="T177" s="54"/>
      <c r="U177" s="54"/>
    </row>
    <row r="178" spans="1:21" x14ac:dyDescent="0.25">
      <c r="A178" s="2">
        <v>-102.5561563460746</v>
      </c>
      <c r="B178" s="2">
        <v>-102.5561563460746</v>
      </c>
      <c r="D178">
        <f>Calculate[[#This Row],[Freq]]</f>
        <v>7965000000</v>
      </c>
      <c r="E178" s="2">
        <f>MIN(-90, -89-Masks[[#This Row],[f]]/(600000000*S_ch_us),-82-Masks[[#This Row],[f]]/(250000000*S_ch_us))-K_ch_UPSD_us</f>
        <v>-98.723400086720375</v>
      </c>
      <c r="F178" s="2">
        <f>MIN(-90, -89-Masks[[#This Row],[f]]/(600000000*S_ch_ds),-82-Masks[[#This Row],[f]]/(250000000*S_ch_ds))-K_ch_UPSD_ds</f>
        <v>-98.723400086720375</v>
      </c>
      <c r="G178">
        <f>-MAX(MIN(20,20-10*LOG10(2*Masks[[#This Row],[f]]/480000000)),12-3)</f>
        <v>-9</v>
      </c>
      <c r="H178">
        <f>-MAX(MIN(20,20-10*LOG10(2*Masks[[#This Row],[f]]/480000000)),12-3)</f>
        <v>-9</v>
      </c>
      <c r="I178">
        <f>10*LOG10(POWER(10,Tx_power_us/10)/F_Nyquist_us)+IF(Masks[[#This Row],[f]]&gt;F_Nyquist_us,-50)</f>
        <v>-148.47032539791456</v>
      </c>
      <c r="J178" s="3">
        <f>10*LOG10(POWER(10,Tx_power_ds/10)/F_Nyquist_ds)+IF(Masks[[#This Row],[f]]&gt;F_Nyquist_ds,-50)</f>
        <v>-148.47032539791456</v>
      </c>
      <c r="K178" s="1">
        <f>20*LOG10(ABS(SIN(PI()*Masks[[#This Row],[f]]/Config!$B$41/2000000000)/(PI()*Masks[[#This Row],[f]]/Config!$B$41/2000000000)))+Tx_power_us-10*LOG10(F_Nyquist_us)+1.11</f>
        <v>-102.5561563460746</v>
      </c>
      <c r="L178" s="1">
        <f>20*LOG10(ABS(SIN(PI()*Masks[[#This Row],[f]]/Config!$B$41/2000000000)/(PI()*Masks[[#This Row],[f]]/Config!$B$41/2000000000)))+Tx_power_ds-10*LOG10(F_Nyquist_ds)+1.11</f>
        <v>-102.5561563460746</v>
      </c>
      <c r="M178" s="1">
        <f>10*LOG10(1/(1+(Masks[[#This Row],[f]]/Config!$B$41/1000000000)^6))+Tx_power_us-10*LOG10(F_Nyquist_us)+0.45</f>
        <v>-102.95225198585771</v>
      </c>
      <c r="N178" s="1">
        <f>10*LOG10(1/(1+(Masks[[#This Row],[f]]/Config!$C$41/1000000000)^6))+Tx_power_ds-10*LOG10(F_Nyquist_ds)+0.45</f>
        <v>-102.95225198585771</v>
      </c>
      <c r="O178" s="3">
        <f>IF(Masks[[#This Row],[f]]&gt;F_Nyquist_us,0,1)</f>
        <v>0</v>
      </c>
      <c r="P178" s="3">
        <f>IF(Masks[[#This Row],[f]]&gt;F_Nyquist_ds,0,1)</f>
        <v>0</v>
      </c>
      <c r="Q178" s="2">
        <f>Config!B$40</f>
        <v>-41.640813746660612</v>
      </c>
      <c r="R178" s="3">
        <f>IF(Config!B$8&gt;0,10*LOG10($X$1*Masks[[#This Row],[f]]+Config!B$8*0.00073),-1000)</f>
        <v>-8.5909932111381</v>
      </c>
      <c r="S178" s="3">
        <f>10*LOG10((10^(Masks[[#This Row],[wire_echo]]/10))+(10^(Masks[[#This Row],[connector_echo]]/10)))</f>
        <v>-8.5888419422826168</v>
      </c>
      <c r="T178" s="54"/>
      <c r="U178" s="54"/>
    </row>
    <row r="179" spans="1:21" x14ac:dyDescent="0.25">
      <c r="A179" s="2">
        <v>-102.62403432328308</v>
      </c>
      <c r="B179" s="2">
        <v>-102.62403432328308</v>
      </c>
      <c r="D179">
        <f>Calculate[[#This Row],[Freq]]</f>
        <v>8010000000</v>
      </c>
      <c r="E179" s="2">
        <f>MIN(-90, -89-Masks[[#This Row],[f]]/(600000000*S_ch_us),-82-Masks[[#This Row],[f]]/(250000000*S_ch_us))-K_ch_UPSD_us</f>
        <v>-98.795400086720377</v>
      </c>
      <c r="F179" s="2">
        <f>MIN(-90, -89-Masks[[#This Row],[f]]/(600000000*S_ch_ds),-82-Masks[[#This Row],[f]]/(250000000*S_ch_ds))-K_ch_UPSD_ds</f>
        <v>-98.795400086720377</v>
      </c>
      <c r="G179">
        <f>-MAX(MIN(20,20-10*LOG10(2*Masks[[#This Row],[f]]/480000000)),12-3)</f>
        <v>-9</v>
      </c>
      <c r="H179">
        <f>-MAX(MIN(20,20-10*LOG10(2*Masks[[#This Row],[f]]/480000000)),12-3)</f>
        <v>-9</v>
      </c>
      <c r="I179">
        <f>10*LOG10(POWER(10,Tx_power_us/10)/F_Nyquist_us)+IF(Masks[[#This Row],[f]]&gt;F_Nyquist_us,-50)</f>
        <v>-148.47032539791456</v>
      </c>
      <c r="J179" s="3">
        <f>10*LOG10(POWER(10,Tx_power_ds/10)/F_Nyquist_ds)+IF(Masks[[#This Row],[f]]&gt;F_Nyquist_ds,-50)</f>
        <v>-148.47032539791456</v>
      </c>
      <c r="K179" s="1">
        <f>20*LOG10(ABS(SIN(PI()*Masks[[#This Row],[f]]/Config!$B$41/2000000000)/(PI()*Masks[[#This Row],[f]]/Config!$B$41/2000000000)))+Tx_power_us-10*LOG10(F_Nyquist_us)+1.11</f>
        <v>-102.62403432328308</v>
      </c>
      <c r="L179" s="1">
        <f>20*LOG10(ABS(SIN(PI()*Masks[[#This Row],[f]]/Config!$B$41/2000000000)/(PI()*Masks[[#This Row],[f]]/Config!$B$41/2000000000)))+Tx_power_ds-10*LOG10(F_Nyquist_ds)+1.11</f>
        <v>-102.62403432328308</v>
      </c>
      <c r="M179" s="1">
        <f>10*LOG10(1/(1+(Masks[[#This Row],[f]]/Config!$B$41/1000000000)^6))+Tx_power_us-10*LOG10(F_Nyquist_us)+0.45</f>
        <v>-103.05243799803719</v>
      </c>
      <c r="N179" s="1">
        <f>10*LOG10(1/(1+(Masks[[#This Row],[f]]/Config!$C$41/1000000000)^6))+Tx_power_ds-10*LOG10(F_Nyquist_ds)+0.45</f>
        <v>-103.05243799803719</v>
      </c>
      <c r="O179" s="3">
        <f>IF(Masks[[#This Row],[f]]&gt;F_Nyquist_us,0,1)</f>
        <v>0</v>
      </c>
      <c r="P179" s="3">
        <f>IF(Masks[[#This Row],[f]]&gt;F_Nyquist_ds,0,1)</f>
        <v>0</v>
      </c>
      <c r="Q179" s="2">
        <f>Config!B$40</f>
        <v>-41.640813746660612</v>
      </c>
      <c r="R179" s="3">
        <f>IF(Config!B$8&gt;0,10*LOG10($X$1*Masks[[#This Row],[f]]+Config!B$8*0.00073),-1000)</f>
        <v>-8.5670409287592815</v>
      </c>
      <c r="S179" s="3">
        <f>10*LOG10((10^(Masks[[#This Row],[wire_echo]]/10))+(10^(Masks[[#This Row],[connector_echo]]/10)))</f>
        <v>-8.5649014890459387</v>
      </c>
      <c r="T179" s="54"/>
      <c r="U179" s="54"/>
    </row>
    <row r="180" spans="1:21" x14ac:dyDescent="0.25">
      <c r="A180" s="2">
        <v>-102.69255935425859</v>
      </c>
      <c r="B180" s="2">
        <v>-102.69255935425859</v>
      </c>
      <c r="D180">
        <f>Calculate[[#This Row],[Freq]]</f>
        <v>8055000000</v>
      </c>
      <c r="E180" s="2">
        <f>MIN(-90, -89-Masks[[#This Row],[f]]/(600000000*S_ch_us),-82-Masks[[#This Row],[f]]/(250000000*S_ch_us))-K_ch_UPSD_us</f>
        <v>-98.86740008672038</v>
      </c>
      <c r="F180" s="2">
        <f>MIN(-90, -89-Masks[[#This Row],[f]]/(600000000*S_ch_ds),-82-Masks[[#This Row],[f]]/(250000000*S_ch_ds))-K_ch_UPSD_ds</f>
        <v>-98.86740008672038</v>
      </c>
      <c r="G180">
        <f>-MAX(MIN(20,20-10*LOG10(2*Masks[[#This Row],[f]]/480000000)),12-3)</f>
        <v>-9</v>
      </c>
      <c r="H180">
        <f>-MAX(MIN(20,20-10*LOG10(2*Masks[[#This Row],[f]]/480000000)),12-3)</f>
        <v>-9</v>
      </c>
      <c r="I180">
        <f>10*LOG10(POWER(10,Tx_power_us/10)/F_Nyquist_us)+IF(Masks[[#This Row],[f]]&gt;F_Nyquist_us,-50)</f>
        <v>-148.47032539791456</v>
      </c>
      <c r="J180" s="3">
        <f>10*LOG10(POWER(10,Tx_power_ds/10)/F_Nyquist_ds)+IF(Masks[[#This Row],[f]]&gt;F_Nyquist_ds,-50)</f>
        <v>-148.47032539791456</v>
      </c>
      <c r="K180" s="1">
        <f>20*LOG10(ABS(SIN(PI()*Masks[[#This Row],[f]]/Config!$B$41/2000000000)/(PI()*Masks[[#This Row],[f]]/Config!$B$41/2000000000)))+Tx_power_us-10*LOG10(F_Nyquist_us)+1.11</f>
        <v>-102.69255935425859</v>
      </c>
      <c r="L180" s="1">
        <f>20*LOG10(ABS(SIN(PI()*Masks[[#This Row],[f]]/Config!$B$41/2000000000)/(PI()*Masks[[#This Row],[f]]/Config!$B$41/2000000000)))+Tx_power_ds-10*LOG10(F_Nyquist_ds)+1.11</f>
        <v>-102.69255935425859</v>
      </c>
      <c r="M180" s="1">
        <f>10*LOG10(1/(1+(Masks[[#This Row],[f]]/Config!$B$41/1000000000)^6))+Tx_power_us-10*LOG10(F_Nyquist_us)+0.45</f>
        <v>-103.15312250669758</v>
      </c>
      <c r="N180" s="1">
        <f>10*LOG10(1/(1+(Masks[[#This Row],[f]]/Config!$C$41/1000000000)^6))+Tx_power_ds-10*LOG10(F_Nyquist_ds)+0.45</f>
        <v>-103.15312250669758</v>
      </c>
      <c r="O180" s="3">
        <f>IF(Masks[[#This Row],[f]]&gt;F_Nyquist_us,0,1)</f>
        <v>0</v>
      </c>
      <c r="P180" s="3">
        <f>IF(Masks[[#This Row],[f]]&gt;F_Nyquist_ds,0,1)</f>
        <v>0</v>
      </c>
      <c r="Q180" s="2">
        <f>Config!B$40</f>
        <v>-41.640813746660612</v>
      </c>
      <c r="R180" s="3">
        <f>IF(Config!B$8&gt;0,10*LOG10($X$1*Masks[[#This Row],[f]]+Config!B$8*0.00073),-1000)</f>
        <v>-8.5432200241656862</v>
      </c>
      <c r="S180" s="3">
        <f>10*LOG10((10^(Masks[[#This Row],[wire_echo]]/10))+(10^(Masks[[#This Row],[connector_echo]]/10)))</f>
        <v>-8.5410922842165196</v>
      </c>
      <c r="T180" s="54"/>
      <c r="U180" s="54"/>
    </row>
    <row r="181" spans="1:21" x14ac:dyDescent="0.25">
      <c r="A181" s="2">
        <v>-102.76173871697614</v>
      </c>
      <c r="B181" s="2">
        <v>-102.76173871697614</v>
      </c>
      <c r="D181">
        <f>Calculate[[#This Row],[Freq]]</f>
        <v>8100000000</v>
      </c>
      <c r="E181" s="2">
        <f>MIN(-90, -89-Masks[[#This Row],[f]]/(600000000*S_ch_us),-82-Masks[[#This Row],[f]]/(250000000*S_ch_us))-K_ch_UPSD_us</f>
        <v>-98.939400086720383</v>
      </c>
      <c r="F181" s="2">
        <f>MIN(-90, -89-Masks[[#This Row],[f]]/(600000000*S_ch_ds),-82-Masks[[#This Row],[f]]/(250000000*S_ch_ds))-K_ch_UPSD_ds</f>
        <v>-98.939400086720383</v>
      </c>
      <c r="G181">
        <f>-MAX(MIN(20,20-10*LOG10(2*Masks[[#This Row],[f]]/480000000)),12-3)</f>
        <v>-9</v>
      </c>
      <c r="H181">
        <f>-MAX(MIN(20,20-10*LOG10(2*Masks[[#This Row],[f]]/480000000)),12-3)</f>
        <v>-9</v>
      </c>
      <c r="I181">
        <f>10*LOG10(POWER(10,Tx_power_us/10)/F_Nyquist_us)+IF(Masks[[#This Row],[f]]&gt;F_Nyquist_us,-50)</f>
        <v>-148.47032539791456</v>
      </c>
      <c r="J181" s="3">
        <f>10*LOG10(POWER(10,Tx_power_ds/10)/F_Nyquist_ds)+IF(Masks[[#This Row],[f]]&gt;F_Nyquist_ds,-50)</f>
        <v>-148.47032539791456</v>
      </c>
      <c r="K181" s="1">
        <f>20*LOG10(ABS(SIN(PI()*Masks[[#This Row],[f]]/Config!$B$41/2000000000)/(PI()*Masks[[#This Row],[f]]/Config!$B$41/2000000000)))+Tx_power_us-10*LOG10(F_Nyquist_us)+1.11</f>
        <v>-102.76173871697614</v>
      </c>
      <c r="L181" s="1">
        <f>20*LOG10(ABS(SIN(PI()*Masks[[#This Row],[f]]/Config!$B$41/2000000000)/(PI()*Masks[[#This Row],[f]]/Config!$B$41/2000000000)))+Tx_power_ds-10*LOG10(F_Nyquist_ds)+1.11</f>
        <v>-102.76173871697614</v>
      </c>
      <c r="M181" s="1">
        <f>10*LOG10(1/(1+(Masks[[#This Row],[f]]/Config!$B$41/1000000000)^6))+Tx_power_us-10*LOG10(F_Nyquist_us)+0.45</f>
        <v>-103.2542807921314</v>
      </c>
      <c r="N181" s="1">
        <f>10*LOG10(1/(1+(Masks[[#This Row],[f]]/Config!$C$41/1000000000)^6))+Tx_power_ds-10*LOG10(F_Nyquist_ds)+0.45</f>
        <v>-103.2542807921314</v>
      </c>
      <c r="O181" s="3">
        <f>IF(Masks[[#This Row],[f]]&gt;F_Nyquist_us,0,1)</f>
        <v>0</v>
      </c>
      <c r="P181" s="3">
        <f>IF(Masks[[#This Row],[f]]&gt;F_Nyquist_ds,0,1)</f>
        <v>0</v>
      </c>
      <c r="Q181" s="2">
        <f>Config!B$40</f>
        <v>-41.640813746660612</v>
      </c>
      <c r="R181" s="3">
        <f>IF(Config!B$8&gt;0,10*LOG10($X$1*Masks[[#This Row],[f]]+Config!B$8*0.00073),-1000)</f>
        <v>-8.5195290640066457</v>
      </c>
      <c r="S181" s="3">
        <f>10*LOG10((10^(Masks[[#This Row],[wire_echo]]/10))+(10^(Masks[[#This Row],[connector_echo]]/10)))</f>
        <v>-8.5174128965547009</v>
      </c>
      <c r="T181" s="54"/>
      <c r="U181" s="54"/>
    </row>
    <row r="182" spans="1:21" x14ac:dyDescent="0.25">
      <c r="A182" s="2">
        <v>-102.83157985613663</v>
      </c>
      <c r="B182" s="2">
        <v>-102.83157985613663</v>
      </c>
      <c r="D182">
        <f>Calculate[[#This Row],[Freq]]</f>
        <v>8145000000</v>
      </c>
      <c r="E182" s="2">
        <f>MIN(-90, -89-Masks[[#This Row],[f]]/(600000000*S_ch_us),-82-Masks[[#This Row],[f]]/(250000000*S_ch_us))-K_ch_UPSD_us</f>
        <v>-99.011400086720371</v>
      </c>
      <c r="F182" s="2">
        <f>MIN(-90, -89-Masks[[#This Row],[f]]/(600000000*S_ch_ds),-82-Masks[[#This Row],[f]]/(250000000*S_ch_ds))-K_ch_UPSD_ds</f>
        <v>-99.011400086720371</v>
      </c>
      <c r="G182">
        <f>-MAX(MIN(20,20-10*LOG10(2*Masks[[#This Row],[f]]/480000000)),12-3)</f>
        <v>-9</v>
      </c>
      <c r="H182">
        <f>-MAX(MIN(20,20-10*LOG10(2*Masks[[#This Row],[f]]/480000000)),12-3)</f>
        <v>-9</v>
      </c>
      <c r="I182">
        <f>10*LOG10(POWER(10,Tx_power_us/10)/F_Nyquist_us)+IF(Masks[[#This Row],[f]]&gt;F_Nyquist_us,-50)</f>
        <v>-148.47032539791456</v>
      </c>
      <c r="J182" s="3">
        <f>10*LOG10(POWER(10,Tx_power_ds/10)/F_Nyquist_ds)+IF(Masks[[#This Row],[f]]&gt;F_Nyquist_ds,-50)</f>
        <v>-148.47032539791456</v>
      </c>
      <c r="K182" s="1">
        <f>20*LOG10(ABS(SIN(PI()*Masks[[#This Row],[f]]/Config!$B$41/2000000000)/(PI()*Masks[[#This Row],[f]]/Config!$B$41/2000000000)))+Tx_power_us-10*LOG10(F_Nyquist_us)+1.11</f>
        <v>-102.83157985613663</v>
      </c>
      <c r="L182" s="1">
        <f>20*LOG10(ABS(SIN(PI()*Masks[[#This Row],[f]]/Config!$B$41/2000000000)/(PI()*Masks[[#This Row],[f]]/Config!$B$41/2000000000)))+Tx_power_ds-10*LOG10(F_Nyquist_ds)+1.11</f>
        <v>-102.83157985613663</v>
      </c>
      <c r="M182" s="1">
        <f>10*LOG10(1/(1+(Masks[[#This Row],[f]]/Config!$B$41/1000000000)^6))+Tx_power_us-10*LOG10(F_Nyquist_us)+0.45</f>
        <v>-103.3558885140547</v>
      </c>
      <c r="N182" s="1">
        <f>10*LOG10(1/(1+(Masks[[#This Row],[f]]/Config!$C$41/1000000000)^6))+Tx_power_ds-10*LOG10(F_Nyquist_ds)+0.45</f>
        <v>-103.3558885140547</v>
      </c>
      <c r="O182" s="3">
        <f>IF(Masks[[#This Row],[f]]&gt;F_Nyquist_us,0,1)</f>
        <v>0</v>
      </c>
      <c r="P182" s="3">
        <f>IF(Masks[[#This Row],[f]]&gt;F_Nyquist_ds,0,1)</f>
        <v>0</v>
      </c>
      <c r="Q182" s="2">
        <f>Config!B$40</f>
        <v>-41.640813746660612</v>
      </c>
      <c r="R182" s="3">
        <f>IF(Config!B$8&gt;0,10*LOG10($X$1*Masks[[#This Row],[f]]+Config!B$8*0.00073),-1000)</f>
        <v>-8.4959666382613701</v>
      </c>
      <c r="S182" s="3">
        <f>10*LOG10((10^(Masks[[#This Row],[wire_echo]]/10))+(10^(Masks[[#This Row],[connector_echo]]/10)))</f>
        <v>-8.4938619181050257</v>
      </c>
      <c r="T182" s="54"/>
      <c r="U182" s="54"/>
    </row>
    <row r="183" spans="1:21" x14ac:dyDescent="0.25">
      <c r="A183" s="2">
        <v>-102.90209038818259</v>
      </c>
      <c r="B183" s="2">
        <v>-102.90209038818259</v>
      </c>
      <c r="D183">
        <f>Calculate[[#This Row],[Freq]]</f>
        <v>8190000000</v>
      </c>
      <c r="E183" s="2">
        <f>MIN(-90, -89-Masks[[#This Row],[f]]/(600000000*S_ch_us),-82-Masks[[#This Row],[f]]/(250000000*S_ch_us))-K_ch_UPSD_us</f>
        <v>-99.083400086720374</v>
      </c>
      <c r="F183" s="2">
        <f>MIN(-90, -89-Masks[[#This Row],[f]]/(600000000*S_ch_ds),-82-Masks[[#This Row],[f]]/(250000000*S_ch_ds))-K_ch_UPSD_ds</f>
        <v>-99.083400086720374</v>
      </c>
      <c r="G183">
        <f>-MAX(MIN(20,20-10*LOG10(2*Masks[[#This Row],[f]]/480000000)),12-3)</f>
        <v>-9</v>
      </c>
      <c r="H183">
        <f>-MAX(MIN(20,20-10*LOG10(2*Masks[[#This Row],[f]]/480000000)),12-3)</f>
        <v>-9</v>
      </c>
      <c r="I183">
        <f>10*LOG10(POWER(10,Tx_power_us/10)/F_Nyquist_us)+IF(Masks[[#This Row],[f]]&gt;F_Nyquist_us,-50)</f>
        <v>-148.47032539791456</v>
      </c>
      <c r="J183" s="3">
        <f>10*LOG10(POWER(10,Tx_power_ds/10)/F_Nyquist_ds)+IF(Masks[[#This Row],[f]]&gt;F_Nyquist_ds,-50)</f>
        <v>-148.47032539791456</v>
      </c>
      <c r="K183" s="1">
        <f>20*LOG10(ABS(SIN(PI()*Masks[[#This Row],[f]]/Config!$B$41/2000000000)/(PI()*Masks[[#This Row],[f]]/Config!$B$41/2000000000)))+Tx_power_us-10*LOG10(F_Nyquist_us)+1.11</f>
        <v>-102.90209038818259</v>
      </c>
      <c r="L183" s="1">
        <f>20*LOG10(ABS(SIN(PI()*Masks[[#This Row],[f]]/Config!$B$41/2000000000)/(PI()*Masks[[#This Row],[f]]/Config!$B$41/2000000000)))+Tx_power_ds-10*LOG10(F_Nyquist_ds)+1.11</f>
        <v>-102.90209038818259</v>
      </c>
      <c r="M183" s="1">
        <f>10*LOG10(1/(1+(Masks[[#This Row],[f]]/Config!$B$41/1000000000)^6))+Tx_power_us-10*LOG10(F_Nyquist_us)+0.45</f>
        <v>-103.4579217306482</v>
      </c>
      <c r="N183" s="1">
        <f>10*LOG10(1/(1+(Masks[[#This Row],[f]]/Config!$C$41/1000000000)^6))+Tx_power_ds-10*LOG10(F_Nyquist_ds)+0.45</f>
        <v>-103.4579217306482</v>
      </c>
      <c r="O183" s="3">
        <f>IF(Masks[[#This Row],[f]]&gt;F_Nyquist_us,0,1)</f>
        <v>0</v>
      </c>
      <c r="P183" s="3">
        <f>IF(Masks[[#This Row],[f]]&gt;F_Nyquist_ds,0,1)</f>
        <v>0</v>
      </c>
      <c r="Q183" s="2">
        <f>Config!B$40</f>
        <v>-41.640813746660612</v>
      </c>
      <c r="R183" s="3">
        <f>IF(Config!B$8&gt;0,10*LOG10($X$1*Masks[[#This Row],[f]]+Config!B$8*0.00073),-1000)</f>
        <v>-8.47253135973539</v>
      </c>
      <c r="S183" s="3">
        <f>10*LOG10((10^(Masks[[#This Row],[wire_echo]]/10))+(10^(Masks[[#This Row],[connector_echo]]/10)))</f>
        <v>-8.4704379636939073</v>
      </c>
      <c r="T183" s="54"/>
      <c r="U183" s="54"/>
    </row>
    <row r="184" spans="1:21" x14ac:dyDescent="0.25">
      <c r="A184" s="2">
        <v>-102.97327810650708</v>
      </c>
      <c r="B184" s="2">
        <v>-102.97327810650708</v>
      </c>
      <c r="D184">
        <f>Calculate[[#This Row],[Freq]]</f>
        <v>8235000000</v>
      </c>
      <c r="E184" s="2">
        <f>MIN(-90, -89-Masks[[#This Row],[f]]/(600000000*S_ch_us),-82-Masks[[#This Row],[f]]/(250000000*S_ch_us))-K_ch_UPSD_us</f>
        <v>-99.155400086720377</v>
      </c>
      <c r="F184" s="2">
        <f>MIN(-90, -89-Masks[[#This Row],[f]]/(600000000*S_ch_ds),-82-Masks[[#This Row],[f]]/(250000000*S_ch_ds))-K_ch_UPSD_ds</f>
        <v>-99.155400086720377</v>
      </c>
      <c r="G184">
        <f>-MAX(MIN(20,20-10*LOG10(2*Masks[[#This Row],[f]]/480000000)),12-3)</f>
        <v>-9</v>
      </c>
      <c r="H184">
        <f>-MAX(MIN(20,20-10*LOG10(2*Masks[[#This Row],[f]]/480000000)),12-3)</f>
        <v>-9</v>
      </c>
      <c r="I184">
        <f>10*LOG10(POWER(10,Tx_power_us/10)/F_Nyquist_us)+IF(Masks[[#This Row],[f]]&gt;F_Nyquist_us,-50)</f>
        <v>-148.47032539791456</v>
      </c>
      <c r="J184" s="3">
        <f>10*LOG10(POWER(10,Tx_power_ds/10)/F_Nyquist_ds)+IF(Masks[[#This Row],[f]]&gt;F_Nyquist_ds,-50)</f>
        <v>-148.47032539791456</v>
      </c>
      <c r="K184" s="1">
        <f>20*LOG10(ABS(SIN(PI()*Masks[[#This Row],[f]]/Config!$B$41/2000000000)/(PI()*Masks[[#This Row],[f]]/Config!$B$41/2000000000)))+Tx_power_us-10*LOG10(F_Nyquist_us)+1.11</f>
        <v>-102.97327810650708</v>
      </c>
      <c r="L184" s="1">
        <f>20*LOG10(ABS(SIN(PI()*Masks[[#This Row],[f]]/Config!$B$41/2000000000)/(PI()*Masks[[#This Row],[f]]/Config!$B$41/2000000000)))+Tx_power_ds-10*LOG10(F_Nyquist_ds)+1.11</f>
        <v>-102.97327810650708</v>
      </c>
      <c r="M184" s="1">
        <f>10*LOG10(1/(1+(Masks[[#This Row],[f]]/Config!$B$41/1000000000)^6))+Tx_power_us-10*LOG10(F_Nyquist_us)+0.45</f>
        <v>-103.56035691564142</v>
      </c>
      <c r="N184" s="1">
        <f>10*LOG10(1/(1+(Masks[[#This Row],[f]]/Config!$C$41/1000000000)^6))+Tx_power_ds-10*LOG10(F_Nyquist_ds)+0.45</f>
        <v>-103.56035691564142</v>
      </c>
      <c r="O184" s="3">
        <f>IF(Masks[[#This Row],[f]]&gt;F_Nyquist_us,0,1)</f>
        <v>0</v>
      </c>
      <c r="P184" s="3">
        <f>IF(Masks[[#This Row],[f]]&gt;F_Nyquist_ds,0,1)</f>
        <v>0</v>
      </c>
      <c r="Q184" s="2">
        <f>Config!B$40</f>
        <v>-41.640813746660612</v>
      </c>
      <c r="R184" s="3">
        <f>IF(Config!B$8&gt;0,10*LOG10($X$1*Masks[[#This Row],[f]]+Config!B$8*0.00073),-1000)</f>
        <v>-8.4492218635704823</v>
      </c>
      <c r="S184" s="3">
        <f>10*LOG10((10^(Masks[[#This Row],[wire_echo]]/10))+(10^(Masks[[#This Row],[connector_echo]]/10)))</f>
        <v>-8.4471396704407447</v>
      </c>
      <c r="T184" s="54"/>
      <c r="U184" s="54"/>
    </row>
    <row r="185" spans="1:21" x14ac:dyDescent="0.25">
      <c r="A185" s="2">
        <v>-103.04515098686439</v>
      </c>
      <c r="B185" s="2">
        <v>-103.04515098686439</v>
      </c>
      <c r="D185">
        <f>Calculate[[#This Row],[Freq]]</f>
        <v>8280000000</v>
      </c>
      <c r="E185" s="2">
        <f>MIN(-90, -89-Masks[[#This Row],[f]]/(600000000*S_ch_us),-82-Masks[[#This Row],[f]]/(250000000*S_ch_us))-K_ch_UPSD_us</f>
        <v>-99.22740008672038</v>
      </c>
      <c r="F185" s="2">
        <f>MIN(-90, -89-Masks[[#This Row],[f]]/(600000000*S_ch_ds),-82-Masks[[#This Row],[f]]/(250000000*S_ch_ds))-K_ch_UPSD_ds</f>
        <v>-99.22740008672038</v>
      </c>
      <c r="G185">
        <f>-MAX(MIN(20,20-10*LOG10(2*Masks[[#This Row],[f]]/480000000)),12-3)</f>
        <v>-9</v>
      </c>
      <c r="H185">
        <f>-MAX(MIN(20,20-10*LOG10(2*Masks[[#This Row],[f]]/480000000)),12-3)</f>
        <v>-9</v>
      </c>
      <c r="I185">
        <f>10*LOG10(POWER(10,Tx_power_us/10)/F_Nyquist_us)+IF(Masks[[#This Row],[f]]&gt;F_Nyquist_us,-50)</f>
        <v>-148.47032539791456</v>
      </c>
      <c r="J185" s="3">
        <f>10*LOG10(POWER(10,Tx_power_ds/10)/F_Nyquist_ds)+IF(Masks[[#This Row],[f]]&gt;F_Nyquist_ds,-50)</f>
        <v>-148.47032539791456</v>
      </c>
      <c r="K185" s="1">
        <f>20*LOG10(ABS(SIN(PI()*Masks[[#This Row],[f]]/Config!$B$41/2000000000)/(PI()*Masks[[#This Row],[f]]/Config!$B$41/2000000000)))+Tx_power_us-10*LOG10(F_Nyquist_us)+1.11</f>
        <v>-103.04515098686439</v>
      </c>
      <c r="L185" s="1">
        <f>20*LOG10(ABS(SIN(PI()*Masks[[#This Row],[f]]/Config!$B$41/2000000000)/(PI()*Masks[[#This Row],[f]]/Config!$B$41/2000000000)))+Tx_power_ds-10*LOG10(F_Nyquist_ds)+1.11</f>
        <v>-103.04515098686439</v>
      </c>
      <c r="M185" s="1">
        <f>10*LOG10(1/(1+(Masks[[#This Row],[f]]/Config!$B$41/1000000000)^6))+Tx_power_us-10*LOG10(F_Nyquist_us)+0.45</f>
        <v>-103.66317097350422</v>
      </c>
      <c r="N185" s="1">
        <f>10*LOG10(1/(1+(Masks[[#This Row],[f]]/Config!$C$41/1000000000)^6))+Tx_power_ds-10*LOG10(F_Nyquist_ds)+0.45</f>
        <v>-103.66317097350422</v>
      </c>
      <c r="O185" s="3">
        <f>IF(Masks[[#This Row],[f]]&gt;F_Nyquist_us,0,1)</f>
        <v>0</v>
      </c>
      <c r="P185" s="3">
        <f>IF(Masks[[#This Row],[f]]&gt;F_Nyquist_ds,0,1)</f>
        <v>0</v>
      </c>
      <c r="Q185" s="2">
        <f>Config!B$40</f>
        <v>-41.640813746660612</v>
      </c>
      <c r="R185" s="3">
        <f>IF(Config!B$8&gt;0,10*LOG10($X$1*Masks[[#This Row],[f]]+Config!B$8*0.00073),-1000)</f>
        <v>-8.4260368067677085</v>
      </c>
      <c r="S185" s="3">
        <f>10*LOG10((10^(Masks[[#This Row],[wire_echo]]/10))+(10^(Masks[[#This Row],[connector_echo]]/10)))</f>
        <v>-8.4239656972821138</v>
      </c>
      <c r="T185" s="54"/>
      <c r="U185" s="54"/>
    </row>
    <row r="186" spans="1:21" x14ac:dyDescent="0.25">
      <c r="A186" s="2">
        <v>-103.11771719299212</v>
      </c>
      <c r="B186" s="2">
        <v>-103.11771719299212</v>
      </c>
      <c r="D186">
        <f>Calculate[[#This Row],[Freq]]</f>
        <v>8325000000</v>
      </c>
      <c r="E186" s="2">
        <f>MIN(-90, -89-Masks[[#This Row],[f]]/(600000000*S_ch_us),-82-Masks[[#This Row],[f]]/(250000000*S_ch_us))-K_ch_UPSD_us</f>
        <v>-99.299400086720368</v>
      </c>
      <c r="F186" s="2">
        <f>MIN(-90, -89-Masks[[#This Row],[f]]/(600000000*S_ch_ds),-82-Masks[[#This Row],[f]]/(250000000*S_ch_ds))-K_ch_UPSD_ds</f>
        <v>-99.299400086720368</v>
      </c>
      <c r="G186">
        <f>-MAX(MIN(20,20-10*LOG10(2*Masks[[#This Row],[f]]/480000000)),12-3)</f>
        <v>-9</v>
      </c>
      <c r="H186">
        <f>-MAX(MIN(20,20-10*LOG10(2*Masks[[#This Row],[f]]/480000000)),12-3)</f>
        <v>-9</v>
      </c>
      <c r="I186">
        <f>10*LOG10(POWER(10,Tx_power_us/10)/F_Nyquist_us)+IF(Masks[[#This Row],[f]]&gt;F_Nyquist_us,-50)</f>
        <v>-148.47032539791456</v>
      </c>
      <c r="J186" s="3">
        <f>10*LOG10(POWER(10,Tx_power_ds/10)/F_Nyquist_ds)+IF(Masks[[#This Row],[f]]&gt;F_Nyquist_ds,-50)</f>
        <v>-148.47032539791456</v>
      </c>
      <c r="K186" s="1">
        <f>20*LOG10(ABS(SIN(PI()*Masks[[#This Row],[f]]/Config!$B$41/2000000000)/(PI()*Masks[[#This Row],[f]]/Config!$B$41/2000000000)))+Tx_power_us-10*LOG10(F_Nyquist_us)+1.11</f>
        <v>-103.11771719299212</v>
      </c>
      <c r="L186" s="1">
        <f>20*LOG10(ABS(SIN(PI()*Masks[[#This Row],[f]]/Config!$B$41/2000000000)/(PI()*Masks[[#This Row],[f]]/Config!$B$41/2000000000)))+Tx_power_ds-10*LOG10(F_Nyquist_ds)+1.11</f>
        <v>-103.11771719299212</v>
      </c>
      <c r="M186" s="1">
        <f>10*LOG10(1/(1+(Masks[[#This Row],[f]]/Config!$B$41/1000000000)^6))+Tx_power_us-10*LOG10(F_Nyquist_us)+0.45</f>
        <v>-103.7663412528148</v>
      </c>
      <c r="N186" s="1">
        <f>10*LOG10(1/(1+(Masks[[#This Row],[f]]/Config!$C$41/1000000000)^6))+Tx_power_ds-10*LOG10(F_Nyquist_ds)+0.45</f>
        <v>-103.7663412528148</v>
      </c>
      <c r="O186" s="3">
        <f>IF(Masks[[#This Row],[f]]&gt;F_Nyquist_us,0,1)</f>
        <v>0</v>
      </c>
      <c r="P186" s="3">
        <f>IF(Masks[[#This Row],[f]]&gt;F_Nyquist_ds,0,1)</f>
        <v>0</v>
      </c>
      <c r="Q186" s="2">
        <f>Config!B$40</f>
        <v>-41.640813746660612</v>
      </c>
      <c r="R186" s="3">
        <f>IF(Config!B$8&gt;0,10*LOG10($X$1*Masks[[#This Row],[f]]+Config!B$8*0.00073),-1000)</f>
        <v>-8.4029748677230849</v>
      </c>
      <c r="S186" s="3">
        <f>10*LOG10((10^(Masks[[#This Row],[wire_echo]]/10))+(10^(Masks[[#This Row],[connector_echo]]/10)))</f>
        <v>-8.4009147245085565</v>
      </c>
      <c r="T186" s="54"/>
      <c r="U186" s="54"/>
    </row>
    <row r="187" spans="1:21" x14ac:dyDescent="0.25">
      <c r="A187" s="2">
        <v>-103.19098508245467</v>
      </c>
      <c r="B187" s="2">
        <v>-103.19098508245467</v>
      </c>
      <c r="D187">
        <f>Calculate[[#This Row],[Freq]]</f>
        <v>8370000000</v>
      </c>
      <c r="E187" s="2">
        <f>MIN(-90, -89-Masks[[#This Row],[f]]/(600000000*S_ch_us),-82-Masks[[#This Row],[f]]/(250000000*S_ch_us))-K_ch_UPSD_us</f>
        <v>-99.371400086720371</v>
      </c>
      <c r="F187" s="2">
        <f>MIN(-90, -89-Masks[[#This Row],[f]]/(600000000*S_ch_ds),-82-Masks[[#This Row],[f]]/(250000000*S_ch_ds))-K_ch_UPSD_ds</f>
        <v>-99.371400086720371</v>
      </c>
      <c r="G187">
        <f>-MAX(MIN(20,20-10*LOG10(2*Masks[[#This Row],[f]]/480000000)),12-3)</f>
        <v>-9</v>
      </c>
      <c r="H187">
        <f>-MAX(MIN(20,20-10*LOG10(2*Masks[[#This Row],[f]]/480000000)),12-3)</f>
        <v>-9</v>
      </c>
      <c r="I187">
        <f>10*LOG10(POWER(10,Tx_power_us/10)/F_Nyquist_us)+IF(Masks[[#This Row],[f]]&gt;F_Nyquist_us,-50)</f>
        <v>-148.47032539791456</v>
      </c>
      <c r="J187" s="3">
        <f>10*LOG10(POWER(10,Tx_power_ds/10)/F_Nyquist_ds)+IF(Masks[[#This Row],[f]]&gt;F_Nyquist_ds,-50)</f>
        <v>-148.47032539791456</v>
      </c>
      <c r="K187" s="1">
        <f>20*LOG10(ABS(SIN(PI()*Masks[[#This Row],[f]]/Config!$B$41/2000000000)/(PI()*Masks[[#This Row],[f]]/Config!$B$41/2000000000)))+Tx_power_us-10*LOG10(F_Nyquist_us)+1.11</f>
        <v>-103.19098508245467</v>
      </c>
      <c r="L187" s="1">
        <f>20*LOG10(ABS(SIN(PI()*Masks[[#This Row],[f]]/Config!$B$41/2000000000)/(PI()*Masks[[#This Row],[f]]/Config!$B$41/2000000000)))+Tx_power_ds-10*LOG10(F_Nyquist_ds)+1.11</f>
        <v>-103.19098508245467</v>
      </c>
      <c r="M187" s="1">
        <f>10*LOG10(1/(1+(Masks[[#This Row],[f]]/Config!$B$41/1000000000)^6))+Tx_power_us-10*LOG10(F_Nyquist_us)+0.45</f>
        <v>-103.86984555787676</v>
      </c>
      <c r="N187" s="1">
        <f>10*LOG10(1/(1+(Masks[[#This Row],[f]]/Config!$C$41/1000000000)^6))+Tx_power_ds-10*LOG10(F_Nyquist_ds)+0.45</f>
        <v>-103.86984555787676</v>
      </c>
      <c r="O187" s="3">
        <f>IF(Masks[[#This Row],[f]]&gt;F_Nyquist_us,0,1)</f>
        <v>0</v>
      </c>
      <c r="P187" s="3">
        <f>IF(Masks[[#This Row],[f]]&gt;F_Nyquist_ds,0,1)</f>
        <v>0</v>
      </c>
      <c r="Q187" s="2">
        <f>Config!B$40</f>
        <v>-41.640813746660612</v>
      </c>
      <c r="R187" s="3">
        <f>IF(Config!B$8&gt;0,10*LOG10($X$1*Masks[[#This Row],[f]]+Config!B$8*0.00073),-1000)</f>
        <v>-8.3800347457755429</v>
      </c>
      <c r="S187" s="3">
        <f>10*LOG10((10^(Masks[[#This Row],[wire_echo]]/10))+(10^(Masks[[#This Row],[connector_echo]]/10)))</f>
        <v>-8.3779854533136078</v>
      </c>
      <c r="T187" s="54"/>
      <c r="U187" s="54"/>
    </row>
    <row r="188" spans="1:21" x14ac:dyDescent="0.25">
      <c r="A188" s="2">
        <v>-103.2649632127186</v>
      </c>
      <c r="B188" s="2">
        <v>-103.2649632127186</v>
      </c>
      <c r="D188">
        <f>Calculate[[#This Row],[Freq]]</f>
        <v>8415000000</v>
      </c>
      <c r="E188" s="2">
        <f>MIN(-90, -89-Masks[[#This Row],[f]]/(600000000*S_ch_us),-82-Masks[[#This Row],[f]]/(250000000*S_ch_us))-K_ch_UPSD_us</f>
        <v>-99.443400086720374</v>
      </c>
      <c r="F188" s="2">
        <f>MIN(-90, -89-Masks[[#This Row],[f]]/(600000000*S_ch_ds),-82-Masks[[#This Row],[f]]/(250000000*S_ch_ds))-K_ch_UPSD_ds</f>
        <v>-99.443400086720374</v>
      </c>
      <c r="G188">
        <f>-MAX(MIN(20,20-10*LOG10(2*Masks[[#This Row],[f]]/480000000)),12-3)</f>
        <v>-9</v>
      </c>
      <c r="H188">
        <f>-MAX(MIN(20,20-10*LOG10(2*Masks[[#This Row],[f]]/480000000)),12-3)</f>
        <v>-9</v>
      </c>
      <c r="I188">
        <f>10*LOG10(POWER(10,Tx_power_us/10)/F_Nyquist_us)+IF(Masks[[#This Row],[f]]&gt;F_Nyquist_us,-50)</f>
        <v>-148.47032539791456</v>
      </c>
      <c r="J188" s="3">
        <f>10*LOG10(POWER(10,Tx_power_ds/10)/F_Nyquist_ds)+IF(Masks[[#This Row],[f]]&gt;F_Nyquist_ds,-50)</f>
        <v>-148.47032539791456</v>
      </c>
      <c r="K188" s="1">
        <f>20*LOG10(ABS(SIN(PI()*Masks[[#This Row],[f]]/Config!$B$41/2000000000)/(PI()*Masks[[#This Row],[f]]/Config!$B$41/2000000000)))+Tx_power_us-10*LOG10(F_Nyquist_us)+1.11</f>
        <v>-103.2649632127186</v>
      </c>
      <c r="L188" s="1">
        <f>20*LOG10(ABS(SIN(PI()*Masks[[#This Row],[f]]/Config!$B$41/2000000000)/(PI()*Masks[[#This Row],[f]]/Config!$B$41/2000000000)))+Tx_power_ds-10*LOG10(F_Nyquist_ds)+1.11</f>
        <v>-103.2649632127186</v>
      </c>
      <c r="M188" s="1">
        <f>10*LOG10(1/(1+(Masks[[#This Row],[f]]/Config!$B$41/1000000000)^6))+Tx_power_us-10*LOG10(F_Nyquist_us)+0.45</f>
        <v>-103.97366215866082</v>
      </c>
      <c r="N188" s="1">
        <f>10*LOG10(1/(1+(Masks[[#This Row],[f]]/Config!$C$41/1000000000)^6))+Tx_power_ds-10*LOG10(F_Nyquist_ds)+0.45</f>
        <v>-103.97366215866082</v>
      </c>
      <c r="O188" s="3">
        <f>IF(Masks[[#This Row],[f]]&gt;F_Nyquist_us,0,1)</f>
        <v>0</v>
      </c>
      <c r="P188" s="3">
        <f>IF(Masks[[#This Row],[f]]&gt;F_Nyquist_ds,0,1)</f>
        <v>0</v>
      </c>
      <c r="Q188" s="2">
        <f>Config!B$40</f>
        <v>-41.640813746660612</v>
      </c>
      <c r="R188" s="3">
        <f>IF(Config!B$8&gt;0,10*LOG10($X$1*Masks[[#This Row],[f]]+Config!B$8*0.00073),-1000)</f>
        <v>-8.3572151607667511</v>
      </c>
      <c r="S188" s="3">
        <f>10*LOG10((10^(Masks[[#This Row],[wire_echo]]/10))+(10^(Masks[[#This Row],[connector_echo]]/10)))</f>
        <v>-8.3551766053546803</v>
      </c>
      <c r="T188" s="54"/>
      <c r="U188" s="54"/>
    </row>
    <row r="189" spans="1:21" x14ac:dyDescent="0.25">
      <c r="A189" s="2">
        <v>-103.33966034747093</v>
      </c>
      <c r="B189" s="2">
        <v>-103.33966034747093</v>
      </c>
      <c r="D189">
        <f>Calculate[[#This Row],[Freq]]</f>
        <v>8460000000</v>
      </c>
      <c r="E189" s="2">
        <f>MIN(-90, -89-Masks[[#This Row],[f]]/(600000000*S_ch_us),-82-Masks[[#This Row],[f]]/(250000000*S_ch_us))-K_ch_UPSD_us</f>
        <v>-99.515400086720376</v>
      </c>
      <c r="F189" s="2">
        <f>MIN(-90, -89-Masks[[#This Row],[f]]/(600000000*S_ch_ds),-82-Masks[[#This Row],[f]]/(250000000*S_ch_ds))-K_ch_UPSD_ds</f>
        <v>-99.515400086720376</v>
      </c>
      <c r="G189">
        <f>-MAX(MIN(20,20-10*LOG10(2*Masks[[#This Row],[f]]/480000000)),12-3)</f>
        <v>-9</v>
      </c>
      <c r="H189">
        <f>-MAX(MIN(20,20-10*LOG10(2*Masks[[#This Row],[f]]/480000000)),12-3)</f>
        <v>-9</v>
      </c>
      <c r="I189">
        <f>10*LOG10(POWER(10,Tx_power_us/10)/F_Nyquist_us)+IF(Masks[[#This Row],[f]]&gt;F_Nyquist_us,-50)</f>
        <v>-148.47032539791456</v>
      </c>
      <c r="J189" s="3">
        <f>10*LOG10(POWER(10,Tx_power_ds/10)/F_Nyquist_ds)+IF(Masks[[#This Row],[f]]&gt;F_Nyquist_ds,-50)</f>
        <v>-148.47032539791456</v>
      </c>
      <c r="K189" s="1">
        <f>20*LOG10(ABS(SIN(PI()*Masks[[#This Row],[f]]/Config!$B$41/2000000000)/(PI()*Masks[[#This Row],[f]]/Config!$B$41/2000000000)))+Tx_power_us-10*LOG10(F_Nyquist_us)+1.11</f>
        <v>-103.33966034747093</v>
      </c>
      <c r="L189" s="1">
        <f>20*LOG10(ABS(SIN(PI()*Masks[[#This Row],[f]]/Config!$B$41/2000000000)/(PI()*Masks[[#This Row],[f]]/Config!$B$41/2000000000)))+Tx_power_ds-10*LOG10(F_Nyquist_ds)+1.11</f>
        <v>-103.33966034747093</v>
      </c>
      <c r="M189" s="1">
        <f>10*LOG10(1/(1+(Masks[[#This Row],[f]]/Config!$B$41/1000000000)^6))+Tx_power_us-10*LOG10(F_Nyquist_us)+0.45</f>
        <v>-104.0777697991487</v>
      </c>
      <c r="N189" s="1">
        <f>10*LOG10(1/(1+(Masks[[#This Row],[f]]/Config!$C$41/1000000000)^6))+Tx_power_ds-10*LOG10(F_Nyquist_ds)+0.45</f>
        <v>-104.0777697991487</v>
      </c>
      <c r="O189" s="3">
        <f>IF(Masks[[#This Row],[f]]&gt;F_Nyquist_us,0,1)</f>
        <v>0</v>
      </c>
      <c r="P189" s="3">
        <f>IF(Masks[[#This Row],[f]]&gt;F_Nyquist_ds,0,1)</f>
        <v>0</v>
      </c>
      <c r="Q189" s="2">
        <f>Config!B$40</f>
        <v>-41.640813746660612</v>
      </c>
      <c r="R189" s="3">
        <f>IF(Config!B$8&gt;0,10*LOG10($X$1*Masks[[#This Row],[f]]+Config!B$8*0.00073),-1000)</f>
        <v>-8.3345148526124486</v>
      </c>
      <c r="S189" s="3">
        <f>10*LOG10((10^(Masks[[#This Row],[wire_echo]]/10))+(10^(Masks[[#This Row],[connector_echo]]/10)))</f>
        <v>-8.3324869223253977</v>
      </c>
      <c r="T189" s="54"/>
      <c r="U189" s="54"/>
    </row>
    <row r="190" spans="1:21" x14ac:dyDescent="0.25">
      <c r="A190" s="2">
        <v>-103.41508546319226</v>
      </c>
      <c r="B190" s="2">
        <v>-103.41508546319226</v>
      </c>
      <c r="D190">
        <f>Calculate[[#This Row],[Freq]]</f>
        <v>8505000000</v>
      </c>
      <c r="E190" s="2">
        <f>MIN(-90, -89-Masks[[#This Row],[f]]/(600000000*S_ch_us),-82-Masks[[#This Row],[f]]/(250000000*S_ch_us))-K_ch_UPSD_us</f>
        <v>-99.587400086720379</v>
      </c>
      <c r="F190" s="2">
        <f>MIN(-90, -89-Masks[[#This Row],[f]]/(600000000*S_ch_ds),-82-Masks[[#This Row],[f]]/(250000000*S_ch_ds))-K_ch_UPSD_ds</f>
        <v>-99.587400086720379</v>
      </c>
      <c r="G190">
        <f>-MAX(MIN(20,20-10*LOG10(2*Masks[[#This Row],[f]]/480000000)),12-3)</f>
        <v>-9</v>
      </c>
      <c r="H190">
        <f>-MAX(MIN(20,20-10*LOG10(2*Masks[[#This Row],[f]]/480000000)),12-3)</f>
        <v>-9</v>
      </c>
      <c r="I190">
        <f>10*LOG10(POWER(10,Tx_power_us/10)/F_Nyquist_us)+IF(Masks[[#This Row],[f]]&gt;F_Nyquist_us,-50)</f>
        <v>-148.47032539791456</v>
      </c>
      <c r="J190" s="3">
        <f>10*LOG10(POWER(10,Tx_power_ds/10)/F_Nyquist_ds)+IF(Masks[[#This Row],[f]]&gt;F_Nyquist_ds,-50)</f>
        <v>-148.47032539791456</v>
      </c>
      <c r="K190" s="1">
        <f>20*LOG10(ABS(SIN(PI()*Masks[[#This Row],[f]]/Config!$B$41/2000000000)/(PI()*Masks[[#This Row],[f]]/Config!$B$41/2000000000)))+Tx_power_us-10*LOG10(F_Nyquist_us)+1.11</f>
        <v>-103.41508546319226</v>
      </c>
      <c r="L190" s="1">
        <f>20*LOG10(ABS(SIN(PI()*Masks[[#This Row],[f]]/Config!$B$41/2000000000)/(PI()*Masks[[#This Row],[f]]/Config!$B$41/2000000000)))+Tx_power_ds-10*LOG10(F_Nyquist_ds)+1.11</f>
        <v>-103.41508546319226</v>
      </c>
      <c r="M190" s="1">
        <f>10*LOG10(1/(1+(Masks[[#This Row],[f]]/Config!$B$41/1000000000)^6))+Tx_power_us-10*LOG10(F_Nyquist_us)+0.45</f>
        <v>-104.18214770415851</v>
      </c>
      <c r="N190" s="1">
        <f>10*LOG10(1/(1+(Masks[[#This Row],[f]]/Config!$C$41/1000000000)^6))+Tx_power_ds-10*LOG10(F_Nyquist_ds)+0.45</f>
        <v>-104.18214770415851</v>
      </c>
      <c r="O190" s="3">
        <f>IF(Masks[[#This Row],[f]]&gt;F_Nyquist_us,0,1)</f>
        <v>0</v>
      </c>
      <c r="P190" s="3">
        <f>IF(Masks[[#This Row],[f]]&gt;F_Nyquist_ds,0,1)</f>
        <v>0</v>
      </c>
      <c r="Q190" s="2">
        <f>Config!B$40</f>
        <v>-41.640813746660612</v>
      </c>
      <c r="R190" s="3">
        <f>IF(Config!B$8&gt;0,10*LOG10($X$1*Masks[[#This Row],[f]]+Config!B$8*0.00073),-1000)</f>
        <v>-8.3119325808849123</v>
      </c>
      <c r="S190" s="3">
        <f>10*LOG10((10^(Masks[[#This Row],[wire_echo]]/10))+(10^(Masks[[#This Row],[connector_echo]]/10)))</f>
        <v>-8.3099151655390493</v>
      </c>
      <c r="T190" s="54"/>
      <c r="U190" s="54"/>
    </row>
    <row r="191" spans="1:21" x14ac:dyDescent="0.25">
      <c r="A191" s="2">
        <v>-103.49124775599701</v>
      </c>
      <c r="B191" s="2">
        <v>-103.49124775599701</v>
      </c>
      <c r="D191">
        <f>Calculate[[#This Row],[Freq]]</f>
        <v>8550000000</v>
      </c>
      <c r="E191" s="2">
        <f>MIN(-90, -89-Masks[[#This Row],[f]]/(600000000*S_ch_us),-82-Masks[[#This Row],[f]]/(250000000*S_ch_us))-K_ch_UPSD_us</f>
        <v>-99.659400086720382</v>
      </c>
      <c r="F191" s="2">
        <f>MIN(-90, -89-Masks[[#This Row],[f]]/(600000000*S_ch_ds),-82-Masks[[#This Row],[f]]/(250000000*S_ch_ds))-K_ch_UPSD_ds</f>
        <v>-99.659400086720382</v>
      </c>
      <c r="G191">
        <f>-MAX(MIN(20,20-10*LOG10(2*Masks[[#This Row],[f]]/480000000)),12-3)</f>
        <v>-9</v>
      </c>
      <c r="H191">
        <f>-MAX(MIN(20,20-10*LOG10(2*Masks[[#This Row],[f]]/480000000)),12-3)</f>
        <v>-9</v>
      </c>
      <c r="I191">
        <f>10*LOG10(POWER(10,Tx_power_us/10)/F_Nyquist_us)+IF(Masks[[#This Row],[f]]&gt;F_Nyquist_us,-50)</f>
        <v>-148.47032539791456</v>
      </c>
      <c r="J191" s="3">
        <f>10*LOG10(POWER(10,Tx_power_ds/10)/F_Nyquist_ds)+IF(Masks[[#This Row],[f]]&gt;F_Nyquist_ds,-50)</f>
        <v>-148.47032539791456</v>
      </c>
      <c r="K191" s="1">
        <f>20*LOG10(ABS(SIN(PI()*Masks[[#This Row],[f]]/Config!$B$41/2000000000)/(PI()*Masks[[#This Row],[f]]/Config!$B$41/2000000000)))+Tx_power_us-10*LOG10(F_Nyquist_us)+1.11</f>
        <v>-103.49124775599701</v>
      </c>
      <c r="L191" s="1">
        <f>20*LOG10(ABS(SIN(PI()*Masks[[#This Row],[f]]/Config!$B$41/2000000000)/(PI()*Masks[[#This Row],[f]]/Config!$B$41/2000000000)))+Tx_power_ds-10*LOG10(F_Nyquist_ds)+1.11</f>
        <v>-103.49124775599701</v>
      </c>
      <c r="M191" s="1">
        <f>10*LOG10(1/(1+(Masks[[#This Row],[f]]/Config!$B$41/1000000000)^6))+Tx_power_us-10*LOG10(F_Nyquist_us)+0.45</f>
        <v>-104.28677558473163</v>
      </c>
      <c r="N191" s="1">
        <f>10*LOG10(1/(1+(Masks[[#This Row],[f]]/Config!$C$41/1000000000)^6))+Tx_power_ds-10*LOG10(F_Nyquist_ds)+0.45</f>
        <v>-104.28677558473163</v>
      </c>
      <c r="O191" s="3">
        <f>IF(Masks[[#This Row],[f]]&gt;F_Nyquist_us,0,1)</f>
        <v>0</v>
      </c>
      <c r="P191" s="3">
        <f>IF(Masks[[#This Row],[f]]&gt;F_Nyquist_ds,0,1)</f>
        <v>0</v>
      </c>
      <c r="Q191" s="2">
        <f>Config!B$40</f>
        <v>-41.640813746660612</v>
      </c>
      <c r="R191" s="3">
        <f>IF(Config!B$8&gt;0,10*LOG10($X$1*Masks[[#This Row],[f]]+Config!B$8*0.00073),-1000)</f>
        <v>-8.2894671244062383</v>
      </c>
      <c r="S191" s="3">
        <f>10*LOG10((10^(Masks[[#This Row],[wire_echo]]/10))+(10^(Masks[[#This Row],[connector_echo]]/10)))</f>
        <v>-8.2874601155228138</v>
      </c>
      <c r="T191" s="54"/>
      <c r="U191" s="54"/>
    </row>
    <row r="192" spans="1:21" x14ac:dyDescent="0.25">
      <c r="A192" s="2">
        <v>-103.56815664875407</v>
      </c>
      <c r="B192" s="2">
        <v>-103.56815664875407</v>
      </c>
      <c r="D192">
        <f>Calculate[[#This Row],[Freq]]</f>
        <v>8595000000</v>
      </c>
      <c r="E192" s="2">
        <f>MIN(-90, -89-Masks[[#This Row],[f]]/(600000000*S_ch_us),-82-Masks[[#This Row],[f]]/(250000000*S_ch_us))-K_ch_UPSD_us</f>
        <v>-99.73140008672037</v>
      </c>
      <c r="F192" s="2">
        <f>MIN(-90, -89-Masks[[#This Row],[f]]/(600000000*S_ch_ds),-82-Masks[[#This Row],[f]]/(250000000*S_ch_ds))-K_ch_UPSD_ds</f>
        <v>-99.73140008672037</v>
      </c>
      <c r="G192">
        <f>-MAX(MIN(20,20-10*LOG10(2*Masks[[#This Row],[f]]/480000000)),12-3)</f>
        <v>-9</v>
      </c>
      <c r="H192">
        <f>-MAX(MIN(20,20-10*LOG10(2*Masks[[#This Row],[f]]/480000000)),12-3)</f>
        <v>-9</v>
      </c>
      <c r="I192">
        <f>10*LOG10(POWER(10,Tx_power_us/10)/F_Nyquist_us)+IF(Masks[[#This Row],[f]]&gt;F_Nyquist_us,-50)</f>
        <v>-148.47032539791456</v>
      </c>
      <c r="J192" s="3">
        <f>10*LOG10(POWER(10,Tx_power_ds/10)/F_Nyquist_ds)+IF(Masks[[#This Row],[f]]&gt;F_Nyquist_ds,-50)</f>
        <v>-148.47032539791456</v>
      </c>
      <c r="K192" s="1">
        <f>20*LOG10(ABS(SIN(PI()*Masks[[#This Row],[f]]/Config!$B$41/2000000000)/(PI()*Masks[[#This Row],[f]]/Config!$B$41/2000000000)))+Tx_power_us-10*LOG10(F_Nyquist_us)+1.11</f>
        <v>-103.56815664875407</v>
      </c>
      <c r="L192" s="1">
        <f>20*LOG10(ABS(SIN(PI()*Masks[[#This Row],[f]]/Config!$B$41/2000000000)/(PI()*Masks[[#This Row],[f]]/Config!$B$41/2000000000)))+Tx_power_ds-10*LOG10(F_Nyquist_ds)+1.11</f>
        <v>-103.56815664875407</v>
      </c>
      <c r="M192" s="1">
        <f>10*LOG10(1/(1+(Masks[[#This Row],[f]]/Config!$B$41/1000000000)^6))+Tx_power_us-10*LOG10(F_Nyquist_us)+0.45</f>
        <v>-104.39163364216112</v>
      </c>
      <c r="N192" s="1">
        <f>10*LOG10(1/(1+(Masks[[#This Row],[f]]/Config!$C$41/1000000000)^6))+Tx_power_ds-10*LOG10(F_Nyquist_ds)+0.45</f>
        <v>-104.39163364216112</v>
      </c>
      <c r="O192" s="3">
        <f>IF(Masks[[#This Row],[f]]&gt;F_Nyquist_us,0,1)</f>
        <v>0</v>
      </c>
      <c r="P192" s="3">
        <f>IF(Masks[[#This Row],[f]]&gt;F_Nyquist_ds,0,1)</f>
        <v>0</v>
      </c>
      <c r="Q192" s="2">
        <f>Config!B$40</f>
        <v>-41.640813746660612</v>
      </c>
      <c r="R192" s="3">
        <f>IF(Config!B$8&gt;0,10*LOG10($X$1*Masks[[#This Row],[f]]+Config!B$8*0.00073),-1000)</f>
        <v>-8.2671172808520783</v>
      </c>
      <c r="S192" s="3">
        <f>10*LOG10((10^(Masks[[#This Row],[wire_echo]]/10))+(10^(Masks[[#This Row],[connector_echo]]/10)))</f>
        <v>-8.2651205716224379</v>
      </c>
      <c r="T192" s="54"/>
      <c r="U192" s="54"/>
    </row>
    <row r="193" spans="1:21" x14ac:dyDescent="0.25">
      <c r="A193" s="2">
        <v>-103.6458217985015</v>
      </c>
      <c r="B193" s="2">
        <v>-103.6458217985015</v>
      </c>
      <c r="D193">
        <f>Calculate[[#This Row],[Freq]]</f>
        <v>8640000000</v>
      </c>
      <c r="E193" s="2">
        <f>MIN(-90, -89-Masks[[#This Row],[f]]/(600000000*S_ch_us),-82-Masks[[#This Row],[f]]/(250000000*S_ch_us))-K_ch_UPSD_us</f>
        <v>-99.803400086720373</v>
      </c>
      <c r="F193" s="2">
        <f>MIN(-90, -89-Masks[[#This Row],[f]]/(600000000*S_ch_ds),-82-Masks[[#This Row],[f]]/(250000000*S_ch_ds))-K_ch_UPSD_ds</f>
        <v>-99.803400086720373</v>
      </c>
      <c r="G193">
        <f>-MAX(MIN(20,20-10*LOG10(2*Masks[[#This Row],[f]]/480000000)),12-3)</f>
        <v>-9</v>
      </c>
      <c r="H193">
        <f>-MAX(MIN(20,20-10*LOG10(2*Masks[[#This Row],[f]]/480000000)),12-3)</f>
        <v>-9</v>
      </c>
      <c r="I193">
        <f>10*LOG10(POWER(10,Tx_power_us/10)/F_Nyquist_us)+IF(Masks[[#This Row],[f]]&gt;F_Nyquist_us,-50)</f>
        <v>-148.47032539791456</v>
      </c>
      <c r="J193" s="3">
        <f>10*LOG10(POWER(10,Tx_power_ds/10)/F_Nyquist_ds)+IF(Masks[[#This Row],[f]]&gt;F_Nyquist_ds,-50)</f>
        <v>-148.47032539791456</v>
      </c>
      <c r="K193" s="1">
        <f>20*LOG10(ABS(SIN(PI()*Masks[[#This Row],[f]]/Config!$B$41/2000000000)/(PI()*Masks[[#This Row],[f]]/Config!$B$41/2000000000)))+Tx_power_us-10*LOG10(F_Nyquist_us)+1.11</f>
        <v>-103.6458217985015</v>
      </c>
      <c r="L193" s="1">
        <f>20*LOG10(ABS(SIN(PI()*Masks[[#This Row],[f]]/Config!$B$41/2000000000)/(PI()*Masks[[#This Row],[f]]/Config!$B$41/2000000000)))+Tx_power_ds-10*LOG10(F_Nyquist_ds)+1.11</f>
        <v>-103.6458217985015</v>
      </c>
      <c r="M193" s="1">
        <f>10*LOG10(1/(1+(Masks[[#This Row],[f]]/Config!$B$41/1000000000)^6))+Tx_power_us-10*LOG10(F_Nyquist_us)+0.45</f>
        <v>-104.49670257074217</v>
      </c>
      <c r="N193" s="1">
        <f>10*LOG10(1/(1+(Masks[[#This Row],[f]]/Config!$C$41/1000000000)^6))+Tx_power_ds-10*LOG10(F_Nyquist_ds)+0.45</f>
        <v>-104.49670257074217</v>
      </c>
      <c r="O193" s="3">
        <f>IF(Masks[[#This Row],[f]]&gt;F_Nyquist_us,0,1)</f>
        <v>0</v>
      </c>
      <c r="P193" s="3">
        <f>IF(Masks[[#This Row],[f]]&gt;F_Nyquist_ds,0,1)</f>
        <v>0</v>
      </c>
      <c r="Q193" s="2">
        <f>Config!B$40</f>
        <v>-41.640813746660612</v>
      </c>
      <c r="R193" s="3">
        <f>IF(Config!B$8&gt;0,10*LOG10($X$1*Masks[[#This Row],[f]]+Config!B$8*0.00073),-1000)</f>
        <v>-8.2448818663655228</v>
      </c>
      <c r="S193" s="3">
        <f>10*LOG10((10^(Masks[[#This Row],[wire_echo]]/10))+(10^(Masks[[#This Row],[connector_echo]]/10)))</f>
        <v>-8.2428953516169887</v>
      </c>
      <c r="T193" s="54"/>
      <c r="U193" s="54"/>
    </row>
    <row r="194" spans="1:21" x14ac:dyDescent="0.25">
      <c r="A194" s="2">
        <v>-103.72425310417017</v>
      </c>
      <c r="B194" s="2">
        <v>-103.72425310417017</v>
      </c>
      <c r="D194">
        <f>Calculate[[#This Row],[Freq]]</f>
        <v>8685000000</v>
      </c>
      <c r="E194" s="2">
        <f>MIN(-90, -89-Masks[[#This Row],[f]]/(600000000*S_ch_us),-82-Masks[[#This Row],[f]]/(250000000*S_ch_us))-K_ch_UPSD_us</f>
        <v>-99.875400086720376</v>
      </c>
      <c r="F194" s="2">
        <f>MIN(-90, -89-Masks[[#This Row],[f]]/(600000000*S_ch_ds),-82-Masks[[#This Row],[f]]/(250000000*S_ch_ds))-K_ch_UPSD_ds</f>
        <v>-99.875400086720376</v>
      </c>
      <c r="G194">
        <f>-MAX(MIN(20,20-10*LOG10(2*Masks[[#This Row],[f]]/480000000)),12-3)</f>
        <v>-9</v>
      </c>
      <c r="H194">
        <f>-MAX(MIN(20,20-10*LOG10(2*Masks[[#This Row],[f]]/480000000)),12-3)</f>
        <v>-9</v>
      </c>
      <c r="I194">
        <f>10*LOG10(POWER(10,Tx_power_us/10)/F_Nyquist_us)+IF(Masks[[#This Row],[f]]&gt;F_Nyquist_us,-50)</f>
        <v>-148.47032539791456</v>
      </c>
      <c r="J194" s="3">
        <f>10*LOG10(POWER(10,Tx_power_ds/10)/F_Nyquist_ds)+IF(Masks[[#This Row],[f]]&gt;F_Nyquist_ds,-50)</f>
        <v>-148.47032539791456</v>
      </c>
      <c r="K194" s="1">
        <f>20*LOG10(ABS(SIN(PI()*Masks[[#This Row],[f]]/Config!$B$41/2000000000)/(PI()*Masks[[#This Row],[f]]/Config!$B$41/2000000000)))+Tx_power_us-10*LOG10(F_Nyquist_us)+1.11</f>
        <v>-103.72425310417017</v>
      </c>
      <c r="L194" s="1">
        <f>20*LOG10(ABS(SIN(PI()*Masks[[#This Row],[f]]/Config!$B$41/2000000000)/(PI()*Masks[[#This Row],[f]]/Config!$B$41/2000000000)))+Tx_power_ds-10*LOG10(F_Nyquist_ds)+1.11</f>
        <v>-103.72425310417017</v>
      </c>
      <c r="M194" s="1">
        <f>10*LOG10(1/(1+(Masks[[#This Row],[f]]/Config!$B$41/1000000000)^6))+Tx_power_us-10*LOG10(F_Nyquist_us)+0.45</f>
        <v>-104.60196355932355</v>
      </c>
      <c r="N194" s="1">
        <f>10*LOG10(1/(1+(Masks[[#This Row],[f]]/Config!$C$41/1000000000)^6))+Tx_power_ds-10*LOG10(F_Nyquist_ds)+0.45</f>
        <v>-104.60196355932355</v>
      </c>
      <c r="O194" s="3">
        <f>IF(Masks[[#This Row],[f]]&gt;F_Nyquist_us,0,1)</f>
        <v>0</v>
      </c>
      <c r="P194" s="3">
        <f>IF(Masks[[#This Row],[f]]&gt;F_Nyquist_ds,0,1)</f>
        <v>0</v>
      </c>
      <c r="Q194" s="2">
        <f>Config!B$40</f>
        <v>-41.640813746660612</v>
      </c>
      <c r="R194" s="3">
        <f>IF(Config!B$8&gt;0,10*LOG10($X$1*Masks[[#This Row],[f]]+Config!B$8*0.00073),-1000)</f>
        <v>-8.2227597151808212</v>
      </c>
      <c r="S194" s="3">
        <f>10*LOG10((10^(Masks[[#This Row],[wire_echo]]/10))+(10^(Masks[[#This Row],[connector_echo]]/10)))</f>
        <v>-8.2207832913434551</v>
      </c>
      <c r="T194" s="54"/>
      <c r="U194" s="54"/>
    </row>
    <row r="195" spans="1:21" x14ac:dyDescent="0.25">
      <c r="A195" s="2">
        <v>-103.80346071463197</v>
      </c>
      <c r="B195" s="2">
        <v>-103.80346071463197</v>
      </c>
      <c r="D195">
        <f>Calculate[[#This Row],[Freq]]</f>
        <v>8730000000</v>
      </c>
      <c r="E195" s="2">
        <f>MIN(-90, -89-Masks[[#This Row],[f]]/(600000000*S_ch_us),-82-Masks[[#This Row],[f]]/(250000000*S_ch_us))-K_ch_UPSD_us</f>
        <v>-99.947400086720378</v>
      </c>
      <c r="F195" s="2">
        <f>MIN(-90, -89-Masks[[#This Row],[f]]/(600000000*S_ch_ds),-82-Masks[[#This Row],[f]]/(250000000*S_ch_ds))-K_ch_UPSD_ds</f>
        <v>-99.947400086720378</v>
      </c>
      <c r="G195">
        <f>-MAX(MIN(20,20-10*LOG10(2*Masks[[#This Row],[f]]/480000000)),12-3)</f>
        <v>-9</v>
      </c>
      <c r="H195">
        <f>-MAX(MIN(20,20-10*LOG10(2*Masks[[#This Row],[f]]/480000000)),12-3)</f>
        <v>-9</v>
      </c>
      <c r="I195">
        <f>10*LOG10(POWER(10,Tx_power_us/10)/F_Nyquist_us)+IF(Masks[[#This Row],[f]]&gt;F_Nyquist_us,-50)</f>
        <v>-148.47032539791456</v>
      </c>
      <c r="J195" s="3">
        <f>10*LOG10(POWER(10,Tx_power_ds/10)/F_Nyquist_ds)+IF(Masks[[#This Row],[f]]&gt;F_Nyquist_ds,-50)</f>
        <v>-148.47032539791456</v>
      </c>
      <c r="K195" s="1">
        <f>20*LOG10(ABS(SIN(PI()*Masks[[#This Row],[f]]/Config!$B$41/2000000000)/(PI()*Masks[[#This Row],[f]]/Config!$B$41/2000000000)))+Tx_power_us-10*LOG10(F_Nyquist_us)+1.11</f>
        <v>-103.80346071463197</v>
      </c>
      <c r="L195" s="1">
        <f>20*LOG10(ABS(SIN(PI()*Masks[[#This Row],[f]]/Config!$B$41/2000000000)/(PI()*Masks[[#This Row],[f]]/Config!$B$41/2000000000)))+Tx_power_ds-10*LOG10(F_Nyquist_ds)+1.11</f>
        <v>-103.80346071463197</v>
      </c>
      <c r="M195" s="1">
        <f>10*LOG10(1/(1+(Masks[[#This Row],[f]]/Config!$B$41/1000000000)^6))+Tx_power_us-10*LOG10(F_Nyquist_us)+0.45</f>
        <v>-104.70739829173857</v>
      </c>
      <c r="N195" s="1">
        <f>10*LOG10(1/(1+(Masks[[#This Row],[f]]/Config!$C$41/1000000000)^6))+Tx_power_ds-10*LOG10(F_Nyquist_ds)+0.45</f>
        <v>-104.70739829173857</v>
      </c>
      <c r="O195" s="3">
        <f>IF(Masks[[#This Row],[f]]&gt;F_Nyquist_us,0,1)</f>
        <v>0</v>
      </c>
      <c r="P195" s="3">
        <f>IF(Masks[[#This Row],[f]]&gt;F_Nyquist_ds,0,1)</f>
        <v>0</v>
      </c>
      <c r="Q195" s="2">
        <f>Config!B$40</f>
        <v>-41.640813746660612</v>
      </c>
      <c r="R195" s="3">
        <f>IF(Config!B$8&gt;0,10*LOG10($X$1*Masks[[#This Row],[f]]+Config!B$8*0.00073),-1000)</f>
        <v>-8.2007496792566332</v>
      </c>
      <c r="S195" s="3">
        <f>10*LOG10((10^(Masks[[#This Row],[wire_echo]]/10))+(10^(Masks[[#This Row],[connector_echo]]/10)))</f>
        <v>-8.1987832443308335</v>
      </c>
      <c r="T195" s="54"/>
      <c r="U195" s="54"/>
    </row>
    <row r="196" spans="1:21" x14ac:dyDescent="0.25">
      <c r="A196" s="2">
        <v>-103.88345503708872</v>
      </c>
      <c r="B196" s="2">
        <v>-103.88345503708872</v>
      </c>
      <c r="D196">
        <f>Calculate[[#This Row],[Freq]]</f>
        <v>8775000000</v>
      </c>
      <c r="E196" s="2">
        <f>MIN(-90, -89-Masks[[#This Row],[f]]/(600000000*S_ch_us),-82-Masks[[#This Row],[f]]/(250000000*S_ch_us))-K_ch_UPSD_us</f>
        <v>-100.01940008672037</v>
      </c>
      <c r="F196" s="2">
        <f>MIN(-90, -89-Masks[[#This Row],[f]]/(600000000*S_ch_ds),-82-Masks[[#This Row],[f]]/(250000000*S_ch_ds))-K_ch_UPSD_ds</f>
        <v>-100.01940008672037</v>
      </c>
      <c r="G196">
        <f>-MAX(MIN(20,20-10*LOG10(2*Masks[[#This Row],[f]]/480000000)),12-3)</f>
        <v>-9</v>
      </c>
      <c r="H196">
        <f>-MAX(MIN(20,20-10*LOG10(2*Masks[[#This Row],[f]]/480000000)),12-3)</f>
        <v>-9</v>
      </c>
      <c r="I196">
        <f>10*LOG10(POWER(10,Tx_power_us/10)/F_Nyquist_us)+IF(Masks[[#This Row],[f]]&gt;F_Nyquist_us,-50)</f>
        <v>-148.47032539791456</v>
      </c>
      <c r="J196" s="3">
        <f>10*LOG10(POWER(10,Tx_power_ds/10)/F_Nyquist_ds)+IF(Masks[[#This Row],[f]]&gt;F_Nyquist_ds,-50)</f>
        <v>-148.47032539791456</v>
      </c>
      <c r="K196" s="1">
        <f>20*LOG10(ABS(SIN(PI()*Masks[[#This Row],[f]]/Config!$B$41/2000000000)/(PI()*Masks[[#This Row],[f]]/Config!$B$41/2000000000)))+Tx_power_us-10*LOG10(F_Nyquist_us)+1.11</f>
        <v>-103.88345503708872</v>
      </c>
      <c r="L196" s="1">
        <f>20*LOG10(ABS(SIN(PI()*Masks[[#This Row],[f]]/Config!$B$41/2000000000)/(PI()*Masks[[#This Row],[f]]/Config!$B$41/2000000000)))+Tx_power_ds-10*LOG10(F_Nyquist_ds)+1.11</f>
        <v>-103.88345503708872</v>
      </c>
      <c r="M196" s="1">
        <f>10*LOG10(1/(1+(Masks[[#This Row],[f]]/Config!$B$41/1000000000)^6))+Tx_power_us-10*LOG10(F_Nyquist_us)+0.45</f>
        <v>-104.81298894619246</v>
      </c>
      <c r="N196" s="1">
        <f>10*LOG10(1/(1+(Masks[[#This Row],[f]]/Config!$C$41/1000000000)^6))+Tx_power_ds-10*LOG10(F_Nyquist_ds)+0.45</f>
        <v>-104.81298894619246</v>
      </c>
      <c r="O196" s="3">
        <f>IF(Masks[[#This Row],[f]]&gt;F_Nyquist_us,0,1)</f>
        <v>0</v>
      </c>
      <c r="P196" s="3">
        <f>IF(Masks[[#This Row],[f]]&gt;F_Nyquist_ds,0,1)</f>
        <v>0</v>
      </c>
      <c r="Q196" s="2">
        <f>Config!B$40</f>
        <v>-41.640813746660612</v>
      </c>
      <c r="R196" s="3">
        <f>IF(Config!B$8&gt;0,10*LOG10($X$1*Masks[[#This Row],[f]]+Config!B$8*0.00073),-1000)</f>
        <v>-8.1788506279185249</v>
      </c>
      <c r="S196" s="3">
        <f>10*LOG10((10^(Masks[[#This Row],[wire_echo]]/10))+(10^(Masks[[#This Row],[connector_echo]]/10)))</f>
        <v>-8.1768940814434448</v>
      </c>
      <c r="T196" s="54"/>
      <c r="U196" s="54"/>
    </row>
    <row r="197" spans="1:21" x14ac:dyDescent="0.25">
      <c r="A197" s="2">
        <v>-103.96424674581981</v>
      </c>
      <c r="B197" s="2">
        <v>-103.96424674581981</v>
      </c>
      <c r="D197">
        <f>Calculate[[#This Row],[Freq]]</f>
        <v>8820000000</v>
      </c>
      <c r="E197" s="2">
        <f>MIN(-90, -89-Masks[[#This Row],[f]]/(600000000*S_ch_us),-82-Masks[[#This Row],[f]]/(250000000*S_ch_us))-K_ch_UPSD_us</f>
        <v>-100.09140008672037</v>
      </c>
      <c r="F197" s="2">
        <f>MIN(-90, -89-Masks[[#This Row],[f]]/(600000000*S_ch_ds),-82-Masks[[#This Row],[f]]/(250000000*S_ch_ds))-K_ch_UPSD_ds</f>
        <v>-100.09140008672037</v>
      </c>
      <c r="G197">
        <f>-MAX(MIN(20,20-10*LOG10(2*Masks[[#This Row],[f]]/480000000)),12-3)</f>
        <v>-9</v>
      </c>
      <c r="H197">
        <f>-MAX(MIN(20,20-10*LOG10(2*Masks[[#This Row],[f]]/480000000)),12-3)</f>
        <v>-9</v>
      </c>
      <c r="I197">
        <f>10*LOG10(POWER(10,Tx_power_us/10)/F_Nyquist_us)+IF(Masks[[#This Row],[f]]&gt;F_Nyquist_us,-50)</f>
        <v>-148.47032539791456</v>
      </c>
      <c r="J197" s="3">
        <f>10*LOG10(POWER(10,Tx_power_ds/10)/F_Nyquist_ds)+IF(Masks[[#This Row],[f]]&gt;F_Nyquist_ds,-50)</f>
        <v>-148.47032539791456</v>
      </c>
      <c r="K197" s="1">
        <f>20*LOG10(ABS(SIN(PI()*Masks[[#This Row],[f]]/Config!$B$41/2000000000)/(PI()*Masks[[#This Row],[f]]/Config!$B$41/2000000000)))+Tx_power_us-10*LOG10(F_Nyquist_us)+1.11</f>
        <v>-103.96424674581981</v>
      </c>
      <c r="L197" s="1">
        <f>20*LOG10(ABS(SIN(PI()*Masks[[#This Row],[f]]/Config!$B$41/2000000000)/(PI()*Masks[[#This Row],[f]]/Config!$B$41/2000000000)))+Tx_power_ds-10*LOG10(F_Nyquist_ds)+1.11</f>
        <v>-103.96424674581981</v>
      </c>
      <c r="M197" s="1">
        <f>10*LOG10(1/(1+(Masks[[#This Row],[f]]/Config!$B$41/1000000000)^6))+Tx_power_us-10*LOG10(F_Nyquist_us)+0.45</f>
        <v>-104.91871819368107</v>
      </c>
      <c r="N197" s="1">
        <f>10*LOG10(1/(1+(Masks[[#This Row],[f]]/Config!$C$41/1000000000)^6))+Tx_power_ds-10*LOG10(F_Nyquist_ds)+0.45</f>
        <v>-104.91871819368107</v>
      </c>
      <c r="O197" s="3">
        <f>IF(Masks[[#This Row],[f]]&gt;F_Nyquist_us,0,1)</f>
        <v>0</v>
      </c>
      <c r="P197" s="3">
        <f>IF(Masks[[#This Row],[f]]&gt;F_Nyquist_ds,0,1)</f>
        <v>0</v>
      </c>
      <c r="Q197" s="2">
        <f>Config!B$40</f>
        <v>-41.640813746660612</v>
      </c>
      <c r="R197" s="3">
        <f>IF(Config!B$8&gt;0,10*LOG10($X$1*Masks[[#This Row],[f]]+Config!B$8*0.00073),-1000)</f>
        <v>-8.1570614475104488</v>
      </c>
      <c r="S197" s="3">
        <f>10*LOG10((10^(Masks[[#This Row],[wire_echo]]/10))+(10^(Masks[[#This Row],[connector_echo]]/10)))</f>
        <v>-8.1551146905331908</v>
      </c>
      <c r="T197" s="54"/>
      <c r="U197" s="54"/>
    </row>
    <row r="198" spans="1:21" x14ac:dyDescent="0.25">
      <c r="A198" s="2">
        <v>-104.04584679130645</v>
      </c>
      <c r="B198" s="2">
        <v>-104.04584679130645</v>
      </c>
      <c r="D198">
        <f>Calculate[[#This Row],[Freq]]</f>
        <v>8865000000</v>
      </c>
      <c r="E198" s="2">
        <f>MIN(-90, -89-Masks[[#This Row],[f]]/(600000000*S_ch_us),-82-Masks[[#This Row],[f]]/(250000000*S_ch_us))-K_ch_UPSD_us</f>
        <v>-100.16340008672037</v>
      </c>
      <c r="F198" s="2">
        <f>MIN(-90, -89-Masks[[#This Row],[f]]/(600000000*S_ch_ds),-82-Masks[[#This Row],[f]]/(250000000*S_ch_ds))-K_ch_UPSD_ds</f>
        <v>-100.16340008672037</v>
      </c>
      <c r="G198">
        <f>-MAX(MIN(20,20-10*LOG10(2*Masks[[#This Row],[f]]/480000000)),12-3)</f>
        <v>-9</v>
      </c>
      <c r="H198">
        <f>-MAX(MIN(20,20-10*LOG10(2*Masks[[#This Row],[f]]/480000000)),12-3)</f>
        <v>-9</v>
      </c>
      <c r="I198">
        <f>10*LOG10(POWER(10,Tx_power_us/10)/F_Nyquist_us)+IF(Masks[[#This Row],[f]]&gt;F_Nyquist_us,-50)</f>
        <v>-148.47032539791456</v>
      </c>
      <c r="J198" s="3">
        <f>10*LOG10(POWER(10,Tx_power_ds/10)/F_Nyquist_ds)+IF(Masks[[#This Row],[f]]&gt;F_Nyquist_ds,-50)</f>
        <v>-148.47032539791456</v>
      </c>
      <c r="K198" s="1">
        <f>20*LOG10(ABS(SIN(PI()*Masks[[#This Row],[f]]/Config!$B$41/2000000000)/(PI()*Masks[[#This Row],[f]]/Config!$B$41/2000000000)))+Tx_power_us-10*LOG10(F_Nyquist_us)+1.11</f>
        <v>-104.04584679130645</v>
      </c>
      <c r="L198" s="1">
        <f>20*LOG10(ABS(SIN(PI()*Masks[[#This Row],[f]]/Config!$B$41/2000000000)/(PI()*Masks[[#This Row],[f]]/Config!$B$41/2000000000)))+Tx_power_ds-10*LOG10(F_Nyquist_ds)+1.11</f>
        <v>-104.04584679130645</v>
      </c>
      <c r="M198" s="1">
        <f>10*LOG10(1/(1+(Masks[[#This Row],[f]]/Config!$B$41/1000000000)^6))+Tx_power_us-10*LOG10(F_Nyquist_us)+0.45</f>
        <v>-105.02456919551416</v>
      </c>
      <c r="N198" s="1">
        <f>10*LOG10(1/(1+(Masks[[#This Row],[f]]/Config!$C$41/1000000000)^6))+Tx_power_ds-10*LOG10(F_Nyquist_ds)+0.45</f>
        <v>-105.02456919551416</v>
      </c>
      <c r="O198" s="3">
        <f>IF(Masks[[#This Row],[f]]&gt;F_Nyquist_us,0,1)</f>
        <v>0</v>
      </c>
      <c r="P198" s="3">
        <f>IF(Masks[[#This Row],[f]]&gt;F_Nyquist_ds,0,1)</f>
        <v>0</v>
      </c>
      <c r="Q198" s="2">
        <f>Config!B$40</f>
        <v>-41.640813746660612</v>
      </c>
      <c r="R198" s="3">
        <f>IF(Config!B$8&gt;0,10*LOG10($X$1*Masks[[#This Row],[f]]+Config!B$8*0.00073),-1000)</f>
        <v>-8.1353810410548952</v>
      </c>
      <c r="S198" s="3">
        <f>10*LOG10((10^(Masks[[#This Row],[wire_echo]]/10))+(10^(Masks[[#This Row],[connector_echo]]/10)))</f>
        <v>-8.1334439761004909</v>
      </c>
      <c r="T198" s="54"/>
      <c r="U198" s="54"/>
    </row>
    <row r="199" spans="1:21" x14ac:dyDescent="0.25">
      <c r="A199" s="2">
        <v>-104.12826640975285</v>
      </c>
      <c r="B199" s="2">
        <v>-104.12826640975285</v>
      </c>
      <c r="D199">
        <f>Calculate[[#This Row],[Freq]]</f>
        <v>8910000000</v>
      </c>
      <c r="E199" s="2">
        <f>MIN(-90, -89-Masks[[#This Row],[f]]/(600000000*S_ch_us),-82-Masks[[#This Row],[f]]/(250000000*S_ch_us))-K_ch_UPSD_us</f>
        <v>-100.23540008672038</v>
      </c>
      <c r="F199" s="2">
        <f>MIN(-90, -89-Masks[[#This Row],[f]]/(600000000*S_ch_ds),-82-Masks[[#This Row],[f]]/(250000000*S_ch_ds))-K_ch_UPSD_ds</f>
        <v>-100.23540008672038</v>
      </c>
      <c r="G199">
        <f>-MAX(MIN(20,20-10*LOG10(2*Masks[[#This Row],[f]]/480000000)),12-3)</f>
        <v>-9</v>
      </c>
      <c r="H199">
        <f>-MAX(MIN(20,20-10*LOG10(2*Masks[[#This Row],[f]]/480000000)),12-3)</f>
        <v>-9</v>
      </c>
      <c r="I199">
        <f>10*LOG10(POWER(10,Tx_power_us/10)/F_Nyquist_us)+IF(Masks[[#This Row],[f]]&gt;F_Nyquist_us,-50)</f>
        <v>-148.47032539791456</v>
      </c>
      <c r="J199" s="3">
        <f>10*LOG10(POWER(10,Tx_power_ds/10)/F_Nyquist_ds)+IF(Masks[[#This Row],[f]]&gt;F_Nyquist_ds,-50)</f>
        <v>-148.47032539791456</v>
      </c>
      <c r="K199" s="1">
        <f>20*LOG10(ABS(SIN(PI()*Masks[[#This Row],[f]]/Config!$B$41/2000000000)/(PI()*Masks[[#This Row],[f]]/Config!$B$41/2000000000)))+Tx_power_us-10*LOG10(F_Nyquist_us)+1.11</f>
        <v>-104.12826640975285</v>
      </c>
      <c r="L199" s="1">
        <f>20*LOG10(ABS(SIN(PI()*Masks[[#This Row],[f]]/Config!$B$41/2000000000)/(PI()*Masks[[#This Row],[f]]/Config!$B$41/2000000000)))+Tx_power_ds-10*LOG10(F_Nyquist_ds)+1.11</f>
        <v>-104.12826640975285</v>
      </c>
      <c r="M199" s="1">
        <f>10*LOG10(1/(1+(Masks[[#This Row],[f]]/Config!$B$41/1000000000)^6))+Tx_power_us-10*LOG10(F_Nyquist_us)+0.45</f>
        <v>-105.13052560001391</v>
      </c>
      <c r="N199" s="1">
        <f>10*LOG10(1/(1+(Masks[[#This Row],[f]]/Config!$C$41/1000000000)^6))+Tx_power_ds-10*LOG10(F_Nyquist_ds)+0.45</f>
        <v>-105.13052560001391</v>
      </c>
      <c r="O199" s="3">
        <f>IF(Masks[[#This Row],[f]]&gt;F_Nyquist_us,0,1)</f>
        <v>0</v>
      </c>
      <c r="P199" s="3">
        <f>IF(Masks[[#This Row],[f]]&gt;F_Nyquist_ds,0,1)</f>
        <v>0</v>
      </c>
      <c r="Q199" s="2">
        <f>Config!B$40</f>
        <v>-41.640813746660612</v>
      </c>
      <c r="R199" s="3">
        <f>IF(Config!B$8&gt;0,10*LOG10($X$1*Masks[[#This Row],[f]]+Config!B$8*0.00073),-1000)</f>
        <v>-8.1138083279215127</v>
      </c>
      <c r="S199" s="3">
        <f>10*LOG10((10^(Masks[[#This Row],[wire_echo]]/10))+(10^(Masks[[#This Row],[connector_echo]]/10)))</f>
        <v>-8.111880858963632</v>
      </c>
      <c r="T199" s="54"/>
      <c r="U199" s="54"/>
    </row>
    <row r="200" spans="1:21" x14ac:dyDescent="0.25">
      <c r="A200" s="2">
        <v>-104.21151713302466</v>
      </c>
      <c r="B200" s="2">
        <v>-104.21151713302466</v>
      </c>
      <c r="D200">
        <f>Calculate[[#This Row],[Freq]]</f>
        <v>8955000000</v>
      </c>
      <c r="E200" s="2">
        <f>MIN(-90, -89-Masks[[#This Row],[f]]/(600000000*S_ch_us),-82-Masks[[#This Row],[f]]/(250000000*S_ch_us))-K_ch_UPSD_us</f>
        <v>-100.30740008672038</v>
      </c>
      <c r="F200" s="2">
        <f>MIN(-90, -89-Masks[[#This Row],[f]]/(600000000*S_ch_ds),-82-Masks[[#This Row],[f]]/(250000000*S_ch_ds))-K_ch_UPSD_ds</f>
        <v>-100.30740008672038</v>
      </c>
      <c r="G200">
        <f>-MAX(MIN(20,20-10*LOG10(2*Masks[[#This Row],[f]]/480000000)),12-3)</f>
        <v>-9</v>
      </c>
      <c r="H200">
        <f>-MAX(MIN(20,20-10*LOG10(2*Masks[[#This Row],[f]]/480000000)),12-3)</f>
        <v>-9</v>
      </c>
      <c r="I200">
        <f>10*LOG10(POWER(10,Tx_power_us/10)/F_Nyquist_us)+IF(Masks[[#This Row],[f]]&gt;F_Nyquist_us,-50)</f>
        <v>-148.47032539791456</v>
      </c>
      <c r="J200" s="3">
        <f>10*LOG10(POWER(10,Tx_power_ds/10)/F_Nyquist_ds)+IF(Masks[[#This Row],[f]]&gt;F_Nyquist_ds,-50)</f>
        <v>-148.47032539791456</v>
      </c>
      <c r="K200" s="1">
        <f>20*LOG10(ABS(SIN(PI()*Masks[[#This Row],[f]]/Config!$B$41/2000000000)/(PI()*Masks[[#This Row],[f]]/Config!$B$41/2000000000)))+Tx_power_us-10*LOG10(F_Nyquist_us)+1.11</f>
        <v>-104.21151713302466</v>
      </c>
      <c r="L200" s="1">
        <f>20*LOG10(ABS(SIN(PI()*Masks[[#This Row],[f]]/Config!$B$41/2000000000)/(PI()*Masks[[#This Row],[f]]/Config!$B$41/2000000000)))+Tx_power_ds-10*LOG10(F_Nyquist_ds)+1.11</f>
        <v>-104.21151713302466</v>
      </c>
      <c r="M200" s="1">
        <f>10*LOG10(1/(1+(Masks[[#This Row],[f]]/Config!$B$41/1000000000)^6))+Tx_power_us-10*LOG10(F_Nyquist_us)+0.45</f>
        <v>-105.2365715384574</v>
      </c>
      <c r="N200" s="1">
        <f>10*LOG10(1/(1+(Masks[[#This Row],[f]]/Config!$C$41/1000000000)^6))+Tx_power_ds-10*LOG10(F_Nyquist_ds)+0.45</f>
        <v>-105.2365715384574</v>
      </c>
      <c r="O200" s="3">
        <f>IF(Masks[[#This Row],[f]]&gt;F_Nyquist_us,0,1)</f>
        <v>0</v>
      </c>
      <c r="P200" s="3">
        <f>IF(Masks[[#This Row],[f]]&gt;F_Nyquist_ds,0,1)</f>
        <v>0</v>
      </c>
      <c r="Q200" s="2">
        <f>Config!B$40</f>
        <v>-41.640813746660612</v>
      </c>
      <c r="R200" s="3">
        <f>IF(Config!B$8&gt;0,10*LOG10($X$1*Masks[[#This Row],[f]]+Config!B$8*0.00073),-1000)</f>
        <v>-8.0923422435039001</v>
      </c>
      <c r="S200" s="3">
        <f>10*LOG10((10^(Masks[[#This Row],[wire_echo]]/10))+(10^(Masks[[#This Row],[connector_echo]]/10)))</f>
        <v>-8.090424275936293</v>
      </c>
      <c r="T200" s="54"/>
      <c r="U200" s="54"/>
    </row>
    <row r="201" spans="1:21" x14ac:dyDescent="0.25">
      <c r="A201" s="2">
        <v>-104.29561079902707</v>
      </c>
      <c r="B201" s="2">
        <v>-104.29561079902707</v>
      </c>
      <c r="D201">
        <f>Calculate[[#This Row],[Freq]]</f>
        <v>9000000000</v>
      </c>
      <c r="E201" s="2">
        <f>MIN(-90, -89-Masks[[#This Row],[f]]/(600000000*S_ch_us),-82-Masks[[#This Row],[f]]/(250000000*S_ch_us))-K_ch_UPSD_us</f>
        <v>-100.37940008672038</v>
      </c>
      <c r="F201" s="2">
        <f>MIN(-90, -89-Masks[[#This Row],[f]]/(600000000*S_ch_ds),-82-Masks[[#This Row],[f]]/(250000000*S_ch_ds))-K_ch_UPSD_ds</f>
        <v>-100.37940008672038</v>
      </c>
      <c r="G201">
        <f>-MAX(MIN(20,20-10*LOG10(2*Masks[[#This Row],[f]]/480000000)),12-3)</f>
        <v>-9</v>
      </c>
      <c r="H201">
        <f>-MAX(MIN(20,20-10*LOG10(2*Masks[[#This Row],[f]]/480000000)),12-3)</f>
        <v>-9</v>
      </c>
      <c r="I201">
        <f>10*LOG10(POWER(10,Tx_power_us/10)/F_Nyquist_us)+IF(Masks[[#This Row],[f]]&gt;F_Nyquist_us,-50)</f>
        <v>-148.47032539791456</v>
      </c>
      <c r="J201" s="3">
        <f>10*LOG10(POWER(10,Tx_power_ds/10)/F_Nyquist_ds)+IF(Masks[[#This Row],[f]]&gt;F_Nyquist_ds,-50)</f>
        <v>-148.47032539791456</v>
      </c>
      <c r="K201" s="1">
        <f>20*LOG10(ABS(SIN(PI()*Masks[[#This Row],[f]]/Config!$B$41/2000000000)/(PI()*Masks[[#This Row],[f]]/Config!$B$41/2000000000)))+Tx_power_us-10*LOG10(F_Nyquist_us)+1.11</f>
        <v>-104.29561079902707</v>
      </c>
      <c r="L201" s="1">
        <f>20*LOG10(ABS(SIN(PI()*Masks[[#This Row],[f]]/Config!$B$41/2000000000)/(PI()*Masks[[#This Row],[f]]/Config!$B$41/2000000000)))+Tx_power_ds-10*LOG10(F_Nyquist_ds)+1.11</f>
        <v>-104.29561079902707</v>
      </c>
      <c r="M201" s="1">
        <f>10*LOG10(1/(1+(Masks[[#This Row],[f]]/Config!$B$41/1000000000)^6))+Tx_power_us-10*LOG10(F_Nyquist_us)+0.45</f>
        <v>-105.34269162032848</v>
      </c>
      <c r="N201" s="1">
        <f>10*LOG10(1/(1+(Masks[[#This Row],[f]]/Config!$C$41/1000000000)^6))+Tx_power_ds-10*LOG10(F_Nyquist_ds)+0.45</f>
        <v>-105.34269162032848</v>
      </c>
      <c r="O201" s="3">
        <f>IF(Masks[[#This Row],[f]]&gt;F_Nyquist_us,0,1)</f>
        <v>0</v>
      </c>
      <c r="P201" s="3">
        <f>IF(Masks[[#This Row],[f]]&gt;F_Nyquist_ds,0,1)</f>
        <v>0</v>
      </c>
      <c r="Q201" s="2">
        <f>Config!B$40</f>
        <v>-41.640813746660612</v>
      </c>
      <c r="R201" s="3">
        <f>IF(Config!B$8&gt;0,10*LOG10($X$1*Masks[[#This Row],[f]]+Config!B$8*0.00073),-1000)</f>
        <v>-8.070981738904349</v>
      </c>
      <c r="S201" s="3">
        <f>10*LOG10((10^(Masks[[#This Row],[wire_echo]]/10))+(10^(Masks[[#This Row],[connector_echo]]/10)))</f>
        <v>-8.0690731795129658</v>
      </c>
      <c r="T201" s="54"/>
      <c r="U201" s="54"/>
    </row>
  </sheetData>
  <sheetProtection algorithmName="SHA-512" hashValue="D7DZNKfFwmTDLV9aKUEwksiTaBGkbFMwhQTmD5axctnn0mnr3MGibsB2P8/CDu7EbMvJ+TY233zCA5lcA9XqCQ==" saltValue="G55TmP0ZHfm7+mMeUrE0AA==" spinCount="100000" sheet="1" insertColumns="0"/>
  <mergeCells count="2">
    <mergeCell ref="W3:X3"/>
    <mergeCell ref="Z1:AB1"/>
  </mergeCells>
  <conditionalFormatting sqref="T1:U201">
    <cfRule type="expression" dxfId="5" priority="1">
      <formula>ISODD(ROW())</formula>
    </cfRule>
  </conditionalFormatting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CB789-2574-4F37-ADE1-030E34E28A47}">
  <dimension ref="A1:AI201"/>
  <sheetViews>
    <sheetView topLeftCell="J1" zoomScale="80" zoomScaleNormal="80" workbookViewId="0">
      <selection activeCell="L2" sqref="L2"/>
    </sheetView>
  </sheetViews>
  <sheetFormatPr defaultRowHeight="15" x14ac:dyDescent="0.25"/>
  <cols>
    <col min="5" max="17" width="19.5703125" customWidth="1"/>
    <col min="18" max="19" width="19.5703125" style="52" customWidth="1"/>
    <col min="20" max="20" width="19.5703125" customWidth="1"/>
    <col min="21" max="22" width="11" customWidth="1"/>
    <col min="23" max="23" width="33.28515625" style="52" customWidth="1"/>
    <col min="24" max="24" width="28" style="52" customWidth="1"/>
    <col min="25" max="35" width="20.5703125" style="52" customWidth="1"/>
  </cols>
  <sheetData>
    <row r="1" spans="1:35" x14ac:dyDescent="0.25">
      <c r="A1" t="s">
        <v>3</v>
      </c>
      <c r="B1" t="str" cm="1">
        <f t="array" ref="B1:B201">INDEX(Channels_IL[#All],,MATCH(cable_model,Channels_IL[#Headers],0))</f>
        <v>mueller_3cy_01_12_01_20_sdp</v>
      </c>
      <c r="C1" t="str" cm="1">
        <f t="array" ref="C1:C201">INDEX(Channels_IL[#All],,MATCH(pcb_model,Channels_IL[#Headers],0))</f>
        <v>pcb_kadry_3cy_02_0820</v>
      </c>
      <c r="E1" t="s">
        <v>74</v>
      </c>
      <c r="F1" s="52" t="s">
        <v>91</v>
      </c>
      <c r="G1" s="52" t="s">
        <v>94</v>
      </c>
      <c r="H1" s="52" t="s">
        <v>93</v>
      </c>
      <c r="I1" s="52" t="s">
        <v>106</v>
      </c>
      <c r="J1" s="52" t="s">
        <v>110</v>
      </c>
      <c r="K1" s="52" t="s">
        <v>114</v>
      </c>
      <c r="L1" s="52" t="s">
        <v>206</v>
      </c>
      <c r="M1" s="52" t="s">
        <v>113</v>
      </c>
      <c r="N1" s="52" t="s">
        <v>148</v>
      </c>
      <c r="O1" s="52" t="s">
        <v>149</v>
      </c>
      <c r="P1" s="52" t="s">
        <v>128</v>
      </c>
      <c r="Q1" s="52" t="s">
        <v>120</v>
      </c>
      <c r="R1" s="53" t="s">
        <v>146</v>
      </c>
      <c r="S1" s="53" t="s">
        <v>100</v>
      </c>
      <c r="U1" t="s">
        <v>73</v>
      </c>
      <c r="V1" t="s">
        <v>74</v>
      </c>
      <c r="W1" s="52" t="s">
        <v>91</v>
      </c>
      <c r="X1" s="52" t="s">
        <v>94</v>
      </c>
      <c r="Y1" s="52" t="s">
        <v>93</v>
      </c>
      <c r="Z1" t="s">
        <v>106</v>
      </c>
      <c r="AA1" t="s">
        <v>110</v>
      </c>
      <c r="AB1" s="52" t="s">
        <v>114</v>
      </c>
      <c r="AC1" s="52" t="s">
        <v>206</v>
      </c>
      <c r="AD1" s="52" t="s">
        <v>113</v>
      </c>
      <c r="AE1" s="52" t="s">
        <v>148</v>
      </c>
      <c r="AF1" s="52" t="s">
        <v>149</v>
      </c>
      <c r="AG1" s="52" t="s">
        <v>119</v>
      </c>
      <c r="AH1" s="53" t="s">
        <v>146</v>
      </c>
      <c r="AI1" s="53" t="s">
        <v>100</v>
      </c>
    </row>
    <row r="2" spans="1:35" x14ac:dyDescent="0.25">
      <c r="A2" s="1">
        <f>Calculate[[#This Row],[Freq]]</f>
        <v>45000000</v>
      </c>
      <c r="B2">
        <v>-0.14624182703253655</v>
      </c>
      <c r="C2">
        <v>-0.47410445814231156</v>
      </c>
      <c r="E2" s="1">
        <f t="shared" ref="E2:E33" si="0">V$3*(((1+V$5*(T-20))*$A2)^V$4) + V$2*$A2</f>
        <v>-0.25739884891957698</v>
      </c>
      <c r="F2" s="1">
        <f t="shared" ref="F2:F33" si="1">W$3*(((1+W$5*(T-20))*$A2)^W$4) + W$2*$A2</f>
        <v>-0.19976380129747315</v>
      </c>
      <c r="G2" s="1">
        <f t="shared" ref="G2:G33" si="2">X$3*(((1+X$5*(T-20))*$A2)^X$4) + X$2*$A2</f>
        <v>-0.15895481023723423</v>
      </c>
      <c r="H2" s="1">
        <f t="shared" ref="H2:H33" si="3">Y$3*(((1+Y$5*(T-20))*$A2)^Y$4) + Y$2*$A2</f>
        <v>-0.15800337421213545</v>
      </c>
      <c r="I2" s="1">
        <f t="shared" ref="I2:I33" si="4">Z$3*(((1+Z$5*(T-20))*$A2)^Z$4) + Z$2*$A2</f>
        <v>-0.23025338745683474</v>
      </c>
      <c r="J2" s="1">
        <f t="shared" ref="J2:J33" si="5">AA$3*(((1+AA$5*(T-20))*$A2)^AA$4) + AA$2*$A2</f>
        <v>-0.14624182703253655</v>
      </c>
      <c r="K2" s="1">
        <f t="shared" ref="K2:L33" si="6">AB$3*(((1+AB$5*(T-20))*$A2)^AB$4) + AB$2*$A2</f>
        <v>-0.13288087665103124</v>
      </c>
      <c r="L2" s="1">
        <f>AC$3*(((1+AC$5*(T-20))*$A2)^AC$4) + AC$2*$A2</f>
        <v>-0.18040651393683127</v>
      </c>
      <c r="M2" s="1">
        <f t="shared" ref="M2:M33" si="7">AD$3*(((1+AD$5*(T-20))*$A2)^AD$4) + AD$2*$A2</f>
        <v>-0.16405707819584109</v>
      </c>
      <c r="N2" s="1">
        <f t="shared" ref="N2:N33" si="8">AE$3*(((1+AE$5*(T-20))*$A2)^AE$4) + AE$2*$A2</f>
        <v>-0.14694651266618608</v>
      </c>
      <c r="O2" s="1">
        <f t="shared" ref="O2:O33" si="9">AF$3*(((1+AF$5*(T-20))*$A2)^AF$4) + AF$2*$A2</f>
        <v>-0.18491470372480001</v>
      </c>
      <c r="P2" s="1">
        <v>0</v>
      </c>
      <c r="Q2" s="1">
        <f t="shared" ref="Q2:Q33" si="10">AG$3*(((1+AG$5*(T-20))*$A2)^AG$4) + AG$2*$A2</f>
        <v>-0.47410445814231156</v>
      </c>
      <c r="R2" s="54">
        <f t="shared" ref="R2:R33" si="11">AH$3*(((1+AH$5*(T-20))*$A2)^AH$4) + AH$2*$A2</f>
        <v>0</v>
      </c>
      <c r="S2" s="54"/>
      <c r="T2" s="1"/>
      <c r="U2" t="s">
        <v>1</v>
      </c>
      <c r="V2">
        <f>-0.002/15*0.000001</f>
        <v>-1.3333333333333334E-10</v>
      </c>
      <c r="W2" s="52">
        <v>-8.8313398028486562E-11</v>
      </c>
      <c r="X2" s="52">
        <v>-1.2353665436395793E-10</v>
      </c>
      <c r="Y2" s="52">
        <v>-2.0677835206542268E-10</v>
      </c>
      <c r="Z2">
        <f>-0.002/2.5/11*0.000001</f>
        <v>-7.2727272727272723E-11</v>
      </c>
      <c r="AA2">
        <v>-9.2185958079566606E-11</v>
      </c>
      <c r="AB2">
        <v>-3.291003355690276E-10</v>
      </c>
      <c r="AC2">
        <v>-9.9340974062793513E-11</v>
      </c>
      <c r="AD2">
        <v>-7.7785521795597179E-11</v>
      </c>
      <c r="AE2">
        <v>-5.5712433914832602E-11</v>
      </c>
      <c r="AF2">
        <v>-4.2070178303516764E-11</v>
      </c>
      <c r="AG2" s="1">
        <f>-0.0979*0.000000001/0.0254</f>
        <v>-3.8543307086614178E-9</v>
      </c>
      <c r="AH2" s="54"/>
      <c r="AI2" s="53"/>
    </row>
    <row r="3" spans="1:35" x14ac:dyDescent="0.25">
      <c r="A3" s="1">
        <f>Calculate[[#This Row],[Freq]]</f>
        <v>90000000</v>
      </c>
      <c r="B3">
        <v>-0.20924723295485284</v>
      </c>
      <c r="C3">
        <v>-0.77208661417322832</v>
      </c>
      <c r="E3" s="1">
        <f t="shared" si="0"/>
        <v>-0.35542094812585834</v>
      </c>
      <c r="F3" s="1">
        <f t="shared" si="1"/>
        <v>-0.28483665265325314</v>
      </c>
      <c r="G3" s="1">
        <f t="shared" si="2"/>
        <v>-0.22805252279236773</v>
      </c>
      <c r="H3" s="1">
        <f t="shared" si="3"/>
        <v>-0.22890127265207777</v>
      </c>
      <c r="I3" s="1">
        <f t="shared" si="4"/>
        <v>-0.31661017386163481</v>
      </c>
      <c r="J3" s="1">
        <f t="shared" si="5"/>
        <v>-0.20924723295485284</v>
      </c>
      <c r="K3" s="1">
        <f t="shared" si="6"/>
        <v>-0.19659715103368067</v>
      </c>
      <c r="L3" s="1">
        <f>AC$3*(((1+AC$5*(T-20))*$A3)^AC$4) + AC$2*$A3</f>
        <v>-0.25775200553871591</v>
      </c>
      <c r="M3" s="1">
        <f t="shared" si="7"/>
        <v>-0.23406220165488348</v>
      </c>
      <c r="N3" s="1">
        <f t="shared" si="8"/>
        <v>-0.20928235262470238</v>
      </c>
      <c r="O3" s="1">
        <f t="shared" si="9"/>
        <v>-0.26261786818435839</v>
      </c>
      <c r="P3" s="1">
        <v>0</v>
      </c>
      <c r="Q3" s="1">
        <f t="shared" si="10"/>
        <v>-0.77208661417322832</v>
      </c>
      <c r="R3" s="54">
        <f t="shared" si="11"/>
        <v>0</v>
      </c>
      <c r="S3" s="54"/>
      <c r="T3" s="1"/>
      <c r="U3" t="s">
        <v>2</v>
      </c>
      <c r="V3">
        <f>-0.68/15*(0.000001^0.45)</f>
        <v>-9.0451891611922563E-5</v>
      </c>
      <c r="W3" s="52">
        <v>-2.9186604992380301E-5</v>
      </c>
      <c r="X3" s="52">
        <v>-2.2866874998790228E-5</v>
      </c>
      <c r="Y3" s="52">
        <v>-2.2166641006363804E-5</v>
      </c>
      <c r="Z3">
        <f>-0.68/11/(2.5^0.45)*(0.000001^0.45)</f>
        <v>-8.1666364667975748E-5</v>
      </c>
      <c r="AA3">
        <v>-2.1182042220057299E-5</v>
      </c>
      <c r="AB3">
        <v>-1.7601039374847014E-5</v>
      </c>
      <c r="AC3">
        <v>-2.6227015736901509E-5</v>
      </c>
      <c r="AD3">
        <v>-2.3934384125859205E-5</v>
      </c>
      <c r="AE3">
        <v>-2.1531762390265137E-5</v>
      </c>
      <c r="AF3">
        <v>-2.7283241168989157E-5</v>
      </c>
      <c r="AG3" s="1">
        <f>-0.036*SQRT(0.000000001)/0.0254</f>
        <v>-4.4819683372465216E-5</v>
      </c>
      <c r="AH3" s="54"/>
      <c r="AI3" s="53"/>
    </row>
    <row r="4" spans="1:35" x14ac:dyDescent="0.25">
      <c r="A4" s="1">
        <f>Calculate[[#This Row],[Freq]]</f>
        <v>135000000</v>
      </c>
      <c r="B4">
        <v>-0.25855819461157437</v>
      </c>
      <c r="C4">
        <v>-1.0410923075208331</v>
      </c>
      <c r="E4" s="1">
        <f t="shared" si="0"/>
        <v>-0.43016190578662056</v>
      </c>
      <c r="F4" s="1">
        <f t="shared" si="1"/>
        <v>-0.35104001393731515</v>
      </c>
      <c r="G4" s="1">
        <f t="shared" si="2"/>
        <v>-0.28236652648949817</v>
      </c>
      <c r="H4" s="1">
        <f t="shared" si="3"/>
        <v>-0.28546817190584833</v>
      </c>
      <c r="I4" s="1">
        <f t="shared" si="4"/>
        <v>-0.38194709919486702</v>
      </c>
      <c r="J4" s="1">
        <f t="shared" si="5"/>
        <v>-0.25855819461157437</v>
      </c>
      <c r="K4" s="1">
        <f t="shared" si="6"/>
        <v>-0.24893414242598919</v>
      </c>
      <c r="L4" s="1">
        <f>AC$3*(((1+AC$5*(T-20))*$A4)^AC$4) + AC$2*$A4</f>
        <v>-0.31814141700769527</v>
      </c>
      <c r="M4" s="1">
        <f t="shared" si="7"/>
        <v>-0.28859345880595716</v>
      </c>
      <c r="N4" s="1">
        <f t="shared" si="8"/>
        <v>-0.25769765003447859</v>
      </c>
      <c r="O4" s="1">
        <f t="shared" si="9"/>
        <v>-0.32268209010514148</v>
      </c>
      <c r="P4" s="1">
        <v>0</v>
      </c>
      <c r="Q4" s="1">
        <f t="shared" si="10"/>
        <v>-1.0410923075208331</v>
      </c>
      <c r="R4" s="54">
        <f t="shared" si="11"/>
        <v>0</v>
      </c>
      <c r="S4" s="54"/>
      <c r="T4" s="1"/>
      <c r="U4" t="s">
        <v>92</v>
      </c>
      <c r="V4" s="3">
        <v>0.45</v>
      </c>
      <c r="W4" s="52">
        <v>0.5</v>
      </c>
      <c r="X4" s="52">
        <v>0.5</v>
      </c>
      <c r="Y4" s="52">
        <v>0.5</v>
      </c>
      <c r="Z4">
        <v>0.45</v>
      </c>
      <c r="AA4">
        <v>0.5</v>
      </c>
      <c r="AB4">
        <v>0.5</v>
      </c>
      <c r="AC4">
        <v>0.5</v>
      </c>
      <c r="AD4">
        <v>0.5</v>
      </c>
      <c r="AE4">
        <v>0.5</v>
      </c>
      <c r="AF4">
        <v>0.5</v>
      </c>
      <c r="AG4">
        <v>0.5</v>
      </c>
      <c r="AH4" s="53"/>
      <c r="AI4" s="53"/>
    </row>
    <row r="5" spans="1:35" x14ac:dyDescent="0.25">
      <c r="A5" s="1">
        <f>Calculate[[#This Row],[Freq]]</f>
        <v>180000000</v>
      </c>
      <c r="B5">
        <v>-0.30078039029223408</v>
      </c>
      <c r="C5">
        <v>-1.2950986800641506</v>
      </c>
      <c r="E5" s="1">
        <f t="shared" si="0"/>
        <v>-0.49312684015268571</v>
      </c>
      <c r="F5" s="1">
        <f t="shared" si="1"/>
        <v>-0.40747580841751008</v>
      </c>
      <c r="G5" s="1">
        <f t="shared" si="2"/>
        <v>-0.32902791936722464</v>
      </c>
      <c r="H5" s="1">
        <f t="shared" si="3"/>
        <v>-0.33461680011015893</v>
      </c>
      <c r="I5" s="1">
        <f t="shared" si="4"/>
        <v>-0.43665179787606373</v>
      </c>
      <c r="J5" s="1">
        <f t="shared" si="5"/>
        <v>-0.30078039029223408</v>
      </c>
      <c r="K5" s="1">
        <f t="shared" si="6"/>
        <v>-0.29538078350327496</v>
      </c>
      <c r="L5" s="1">
        <f>AC$3*(((1+AC$5*(T-20))*$A5)^AC$4) + AC$2*$A5</f>
        <v>-0.36975371553931397</v>
      </c>
      <c r="M5" s="1">
        <f t="shared" si="7"/>
        <v>-0.33511485335328589</v>
      </c>
      <c r="N5" s="1">
        <f t="shared" si="8"/>
        <v>-0.29890714438470706</v>
      </c>
      <c r="O5" s="1">
        <f t="shared" si="9"/>
        <v>-0.37361572349691652</v>
      </c>
      <c r="P5" s="1">
        <v>0</v>
      </c>
      <c r="Q5" s="1">
        <f t="shared" si="10"/>
        <v>-1.2950986800641506</v>
      </c>
      <c r="R5" s="54">
        <f t="shared" si="11"/>
        <v>0</v>
      </c>
      <c r="S5" s="54"/>
      <c r="T5" s="1"/>
      <c r="U5" t="s">
        <v>105</v>
      </c>
      <c r="V5" s="3">
        <v>0</v>
      </c>
      <c r="W5" s="52">
        <v>4.0000000000000001E-3</v>
      </c>
      <c r="X5" s="52">
        <v>4.0000000000000001E-3</v>
      </c>
      <c r="Y5" s="52">
        <v>4.0000000000000001E-3</v>
      </c>
      <c r="Z5">
        <v>0</v>
      </c>
      <c r="AA5">
        <v>4.0000000000000001E-3</v>
      </c>
      <c r="AB5">
        <v>4.0000000000000001E-3</v>
      </c>
      <c r="AC5">
        <v>4.0000000000000001E-3</v>
      </c>
      <c r="AD5">
        <v>4.0000000000000001E-3</v>
      </c>
      <c r="AE5">
        <v>4.0000000000000001E-3</v>
      </c>
      <c r="AF5">
        <v>4.0000000000000001E-3</v>
      </c>
      <c r="AG5">
        <v>0</v>
      </c>
      <c r="AH5" s="53"/>
      <c r="AI5" s="53"/>
    </row>
    <row r="6" spans="1:35" x14ac:dyDescent="0.25">
      <c r="A6" s="1">
        <f>Calculate[[#This Row],[Freq]]</f>
        <v>225000000</v>
      </c>
      <c r="B6">
        <v>-0.338472473868762</v>
      </c>
      <c r="C6">
        <v>-1.5395196600357972</v>
      </c>
      <c r="E6" s="1">
        <f t="shared" si="0"/>
        <v>-0.54868033993221998</v>
      </c>
      <c r="F6" s="1">
        <f t="shared" si="1"/>
        <v>-0.457669589442114</v>
      </c>
      <c r="G6" s="1">
        <f t="shared" si="2"/>
        <v>-0.37079887221374397</v>
      </c>
      <c r="H6" s="1">
        <f t="shared" si="3"/>
        <v>-0.37902474431017719</v>
      </c>
      <c r="I6" s="1">
        <f t="shared" si="4"/>
        <v>-0.48466492926253407</v>
      </c>
      <c r="J6" s="1">
        <f t="shared" si="5"/>
        <v>-0.338472473868762</v>
      </c>
      <c r="K6" s="1">
        <f t="shared" si="6"/>
        <v>-0.33806316612573639</v>
      </c>
      <c r="L6" s="1">
        <f>AC$3*(((1+AC$5*(T-20))*$A6)^AC$4) + AC$2*$A6</f>
        <v>-0.41575695521765116</v>
      </c>
      <c r="M6" s="1">
        <f t="shared" si="7"/>
        <v>-0.37651750429189745</v>
      </c>
      <c r="N6" s="1">
        <f t="shared" si="8"/>
        <v>-0.33551173348481439</v>
      </c>
      <c r="O6" s="1">
        <f t="shared" si="9"/>
        <v>-0.41871440765312867</v>
      </c>
      <c r="P6" s="1">
        <v>0</v>
      </c>
      <c r="Q6" s="1">
        <f t="shared" si="10"/>
        <v>-1.5395196600357972</v>
      </c>
      <c r="R6" s="54">
        <f t="shared" si="11"/>
        <v>0</v>
      </c>
      <c r="S6" s="54"/>
      <c r="T6" s="1"/>
    </row>
    <row r="7" spans="1:35" x14ac:dyDescent="0.25">
      <c r="A7" s="1">
        <f>Calculate[[#This Row],[Freq]]</f>
        <v>270000000</v>
      </c>
      <c r="B7">
        <v>-0.37294667882004873</v>
      </c>
      <c r="C7">
        <v>-1.7771318394387352</v>
      </c>
      <c r="E7" s="1">
        <f t="shared" si="0"/>
        <v>-0.59902975560513638</v>
      </c>
      <c r="F7" s="1">
        <f t="shared" si="1"/>
        <v>-0.503429475407279</v>
      </c>
      <c r="G7" s="1">
        <f t="shared" si="2"/>
        <v>-0.40909599437291838</v>
      </c>
      <c r="H7" s="1">
        <f t="shared" si="3"/>
        <v>-0.42006523415679825</v>
      </c>
      <c r="I7" s="1">
        <f t="shared" si="4"/>
        <v>-0.52797944547534614</v>
      </c>
      <c r="J7" s="1">
        <f t="shared" si="5"/>
        <v>-0.37294667882004873</v>
      </c>
      <c r="K7" s="1">
        <f t="shared" si="6"/>
        <v>-0.37807167963784755</v>
      </c>
      <c r="L7" s="1">
        <f>AC$3*(((1+AC$5*(T-20))*$A7)^AC$4) + AC$2*$A7</f>
        <v>-0.45777590705127225</v>
      </c>
      <c r="M7" s="1">
        <f t="shared" si="7"/>
        <v>-0.41428415345661085</v>
      </c>
      <c r="N7" s="1">
        <f t="shared" si="8"/>
        <v>-0.36884531607669185</v>
      </c>
      <c r="O7" s="1">
        <f t="shared" si="9"/>
        <v>-0.45966834704521892</v>
      </c>
      <c r="P7" s="1">
        <v>0</v>
      </c>
      <c r="Q7" s="1">
        <f t="shared" si="10"/>
        <v>-1.7771318394387352</v>
      </c>
      <c r="R7" s="54">
        <f t="shared" si="11"/>
        <v>0</v>
      </c>
      <c r="S7" s="54"/>
      <c r="T7" s="1"/>
    </row>
    <row r="8" spans="1:35" x14ac:dyDescent="0.25">
      <c r="A8" s="1">
        <f>Calculate[[#This Row],[Freq]]</f>
        <v>315000000</v>
      </c>
      <c r="B8">
        <v>-0.40498253202359402</v>
      </c>
      <c r="C8">
        <v>-2.009584641282649</v>
      </c>
      <c r="E8" s="1">
        <f t="shared" si="0"/>
        <v>-0.64547238688687869</v>
      </c>
      <c r="F8" s="1">
        <f t="shared" si="1"/>
        <v>-0.5458295715771796</v>
      </c>
      <c r="G8" s="1">
        <f t="shared" si="2"/>
        <v>-0.44476081677367357</v>
      </c>
      <c r="H8" s="1">
        <f t="shared" si="3"/>
        <v>-0.45855403105153564</v>
      </c>
      <c r="I8" s="1">
        <f t="shared" si="4"/>
        <v>-0.5677666404449756</v>
      </c>
      <c r="J8" s="1">
        <f t="shared" si="5"/>
        <v>-0.40498253202359402</v>
      </c>
      <c r="K8" s="1">
        <f t="shared" si="6"/>
        <v>-0.41605406532546185</v>
      </c>
      <c r="L8" s="1">
        <f>AC$3*(((1+AC$5*(T-20))*$A8)^AC$4) + AC$2*$A8</f>
        <v>-0.49677575954613545</v>
      </c>
      <c r="M8" s="1">
        <f t="shared" si="7"/>
        <v>-0.44929561750942115</v>
      </c>
      <c r="N8" s="1">
        <f t="shared" si="8"/>
        <v>-0.39970028919782902</v>
      </c>
      <c r="O8" s="1">
        <f t="shared" si="9"/>
        <v>-0.49748160065747143</v>
      </c>
      <c r="P8" s="1">
        <v>0</v>
      </c>
      <c r="Q8" s="1">
        <f t="shared" si="10"/>
        <v>-2.009584641282649</v>
      </c>
      <c r="R8" s="54">
        <f t="shared" si="11"/>
        <v>0</v>
      </c>
      <c r="S8" s="54"/>
      <c r="T8" s="1"/>
    </row>
    <row r="9" spans="1:35" x14ac:dyDescent="0.25">
      <c r="A9" s="1">
        <f>Calculate[[#This Row],[Freq]]</f>
        <v>360000000</v>
      </c>
      <c r="B9">
        <v>-0.4350879383640277</v>
      </c>
      <c r="C9">
        <v>-2.2379527559055119</v>
      </c>
      <c r="E9" s="1">
        <f t="shared" si="0"/>
        <v>-0.68884614917255227</v>
      </c>
      <c r="F9" s="1">
        <f t="shared" si="1"/>
        <v>-0.58556971695163385</v>
      </c>
      <c r="G9" s="1">
        <f t="shared" si="2"/>
        <v>-0.47834164337024793</v>
      </c>
      <c r="H9" s="1">
        <f t="shared" si="3"/>
        <v>-0.49502264867593165</v>
      </c>
      <c r="I9" s="1">
        <f t="shared" si="4"/>
        <v>-0.60478304344901013</v>
      </c>
      <c r="J9" s="1">
        <f t="shared" si="5"/>
        <v>-0.4350879383640277</v>
      </c>
      <c r="K9" s="1">
        <f t="shared" si="6"/>
        <v>-0.4524323624697863</v>
      </c>
      <c r="L9" s="1">
        <f>AC$3*(((1+AC$5*(T-20))*$A9)^AC$4) + AC$2*$A9</f>
        <v>-0.53338538640873467</v>
      </c>
      <c r="M9" s="1">
        <f t="shared" si="7"/>
        <v>-0.48212579723297444</v>
      </c>
      <c r="N9" s="1">
        <f t="shared" si="8"/>
        <v>-0.42859294335407466</v>
      </c>
      <c r="O9" s="1">
        <f t="shared" si="9"/>
        <v>-0.53280836846334978</v>
      </c>
      <c r="P9" s="1">
        <v>0</v>
      </c>
      <c r="Q9" s="1">
        <f t="shared" si="10"/>
        <v>-2.2379527559055119</v>
      </c>
      <c r="R9" s="54">
        <f t="shared" si="11"/>
        <v>0</v>
      </c>
      <c r="S9" s="54"/>
      <c r="T9" s="1"/>
    </row>
    <row r="10" spans="1:35" x14ac:dyDescent="0.25">
      <c r="A10" s="1">
        <f>Calculate[[#This Row],[Freq]]</f>
        <v>405000000</v>
      </c>
      <c r="B10">
        <v>-0.46361568977909257</v>
      </c>
      <c r="C10">
        <v>-2.4629826657655172</v>
      </c>
      <c r="E10" s="1">
        <f t="shared" si="0"/>
        <v>-0.72972877645117351</v>
      </c>
      <c r="F10" s="1">
        <f t="shared" si="1"/>
        <v>-0.62313602136011081</v>
      </c>
      <c r="G10" s="1">
        <f t="shared" si="2"/>
        <v>-0.51021932738997133</v>
      </c>
      <c r="H10" s="1">
        <f t="shared" si="3"/>
        <v>-0.52984027769407049</v>
      </c>
      <c r="I10" s="1">
        <f t="shared" si="4"/>
        <v>-0.63955027359112193</v>
      </c>
      <c r="J10" s="1">
        <f t="shared" si="5"/>
        <v>-0.46361568977909257</v>
      </c>
      <c r="K10" s="1">
        <f t="shared" si="6"/>
        <v>-0.48749972055673108</v>
      </c>
      <c r="L10" s="1">
        <f>AC$3*(((1+AC$5*(T-20))*$A10)^AC$4) + AC$2*$A10</f>
        <v>-0.56804160480744792</v>
      </c>
      <c r="M10" s="1">
        <f t="shared" si="7"/>
        <v>-0.51317332547233441</v>
      </c>
      <c r="N10" s="1">
        <f t="shared" si="8"/>
        <v>-0.45588189515556299</v>
      </c>
      <c r="O10" s="1">
        <f t="shared" si="9"/>
        <v>-0.56610305931634952</v>
      </c>
      <c r="P10" s="1">
        <v>0</v>
      </c>
      <c r="Q10" s="1">
        <f t="shared" si="10"/>
        <v>-2.4629826657655172</v>
      </c>
      <c r="R10" s="54">
        <f t="shared" si="11"/>
        <v>0</v>
      </c>
      <c r="S10" s="54"/>
      <c r="T10" s="1"/>
    </row>
    <row r="11" spans="1:35" x14ac:dyDescent="0.25">
      <c r="A11" s="1">
        <f>Calculate[[#This Row],[Freq]]</f>
        <v>450000000</v>
      </c>
      <c r="B11">
        <v>-0.490822651931273</v>
      </c>
      <c r="C11">
        <v>-2.685217880196761</v>
      </c>
      <c r="E11" s="1">
        <f t="shared" si="0"/>
        <v>-0.76853822473446587</v>
      </c>
      <c r="F11" s="1">
        <f t="shared" si="1"/>
        <v>-0.65888241841057649</v>
      </c>
      <c r="G11" s="1">
        <f t="shared" si="2"/>
        <v>-0.54067116574947194</v>
      </c>
      <c r="H11" s="1">
        <f t="shared" si="3"/>
        <v>-0.56327572358126943</v>
      </c>
      <c r="I11" s="1">
        <f t="shared" si="4"/>
        <v>-0.67244569111729735</v>
      </c>
      <c r="J11" s="1">
        <f>AA$3*(((1+AA$5*(T-20))*$A11)^AA$4) + AA$2*$A11</f>
        <v>-0.490822651931273</v>
      </c>
      <c r="K11" s="1">
        <f t="shared" si="6"/>
        <v>-0.52146957994263499</v>
      </c>
      <c r="L11" s="1">
        <f>AC$3*(((1+AC$5*(T-20))*$A11)^AC$4) + AC$2*$A11</f>
        <v>-0.60106245866373764</v>
      </c>
      <c r="M11" s="1">
        <f t="shared" si="7"/>
        <v>-0.54272844437557977</v>
      </c>
      <c r="N11" s="1">
        <f t="shared" si="8"/>
        <v>-0.48182825117329292</v>
      </c>
      <c r="O11" s="1">
        <f t="shared" si="9"/>
        <v>-0.5976965255367892</v>
      </c>
      <c r="P11" s="1">
        <v>0</v>
      </c>
      <c r="Q11" s="1">
        <f t="shared" si="10"/>
        <v>-2.685217880196761</v>
      </c>
      <c r="R11" s="54">
        <f t="shared" si="11"/>
        <v>0</v>
      </c>
      <c r="S11" s="54"/>
      <c r="T11" s="1"/>
      <c r="W11"/>
      <c r="X11"/>
      <c r="Y11"/>
      <c r="Z11"/>
      <c r="AA11"/>
      <c r="AB11"/>
      <c r="AC11"/>
      <c r="AD11"/>
      <c r="AE11"/>
      <c r="AF11"/>
      <c r="AG11"/>
    </row>
    <row r="12" spans="1:35" x14ac:dyDescent="0.25">
      <c r="A12" s="1">
        <f>Calculate[[#This Row],[Freq]]</f>
        <v>495000000</v>
      </c>
      <c r="B12">
        <v>-0.51690273764734174</v>
      </c>
      <c r="C12">
        <v>-2.9050687048443513</v>
      </c>
      <c r="E12" s="1">
        <f t="shared" si="0"/>
        <v>-0.80558823358336684</v>
      </c>
      <c r="F12" s="1">
        <f t="shared" si="1"/>
        <v>-0.69307609938794945</v>
      </c>
      <c r="G12" s="1">
        <f t="shared" si="2"/>
        <v>-0.56990649522206049</v>
      </c>
      <c r="H12" s="1">
        <f t="shared" si="3"/>
        <v>-0.595531912758548</v>
      </c>
      <c r="I12" s="1">
        <f t="shared" si="4"/>
        <v>-0.70375256229137773</v>
      </c>
      <c r="J12" s="1">
        <f t="shared" si="5"/>
        <v>-0.51690273764734174</v>
      </c>
      <c r="K12" s="1">
        <f t="shared" si="6"/>
        <v>-0.55450307085582351</v>
      </c>
      <c r="L12" s="1">
        <f>AC$3*(((1+AC$5*(T-20))*$A12)^AC$4) + AC$2*$A12</f>
        <v>-0.63268804544821222</v>
      </c>
      <c r="M12" s="1">
        <f t="shared" si="7"/>
        <v>-0.57101026332011107</v>
      </c>
      <c r="N12" s="1">
        <f t="shared" si="8"/>
        <v>-0.50662912577740504</v>
      </c>
      <c r="O12" s="1">
        <f t="shared" si="9"/>
        <v>-0.62783853390181132</v>
      </c>
      <c r="P12" s="1">
        <v>0</v>
      </c>
      <c r="Q12" s="1">
        <f t="shared" si="10"/>
        <v>-2.9050687048443513</v>
      </c>
      <c r="R12" s="54">
        <f t="shared" si="11"/>
        <v>0</v>
      </c>
      <c r="S12" s="5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5" x14ac:dyDescent="0.25">
      <c r="A13" s="1">
        <f>Calculate[[#This Row],[Freq]]</f>
        <v>540000000</v>
      </c>
      <c r="B13">
        <v>-0.54200659790463179</v>
      </c>
      <c r="C13">
        <v>-3.1228539063802492</v>
      </c>
      <c r="E13" s="1">
        <f t="shared" si="0"/>
        <v>-0.8411213119072054</v>
      </c>
      <c r="F13" s="1">
        <f t="shared" si="1"/>
        <v>-0.7259246453423216</v>
      </c>
      <c r="G13" s="1">
        <f t="shared" si="2"/>
        <v>-0.59808794965726497</v>
      </c>
      <c r="H13" s="1">
        <f t="shared" si="3"/>
        <v>-0.62676649886936087</v>
      </c>
      <c r="I13" s="1">
        <f t="shared" si="4"/>
        <v>-0.73368984130737191</v>
      </c>
      <c r="J13" s="1">
        <f t="shared" si="5"/>
        <v>-0.54200659790463179</v>
      </c>
      <c r="K13" s="1">
        <f t="shared" si="6"/>
        <v>-0.58672537545561587</v>
      </c>
      <c r="L13" s="1">
        <f>AC$3*(((1+AC$5*(T-20))*$A13)^AC$4) + AC$2*$A13</f>
        <v>-0.66310489701234476</v>
      </c>
      <c r="M13" s="1">
        <f t="shared" si="7"/>
        <v>-0.59818900849672563</v>
      </c>
      <c r="N13" s="1">
        <f t="shared" si="8"/>
        <v>-0.53043765722596203</v>
      </c>
      <c r="O13" s="1">
        <f t="shared" si="9"/>
        <v>-0.65672312835223257</v>
      </c>
      <c r="P13" s="1">
        <v>0</v>
      </c>
      <c r="Q13" s="1">
        <f t="shared" si="10"/>
        <v>-3.1228539063802492</v>
      </c>
      <c r="R13" s="54">
        <f t="shared" si="11"/>
        <v>0</v>
      </c>
      <c r="S13" s="5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5" x14ac:dyDescent="0.25">
      <c r="A14" s="1">
        <f>Calculate[[#This Row],[Freq]]</f>
        <v>585000000</v>
      </c>
      <c r="B14">
        <v>-0.56625403751687831</v>
      </c>
      <c r="C14">
        <v>-3.3388269832047657</v>
      </c>
      <c r="E14" s="1">
        <f t="shared" si="0"/>
        <v>-0.87532942794033775</v>
      </c>
      <c r="F14" s="1">
        <f t="shared" si="1"/>
        <v>-0.75759313458570632</v>
      </c>
      <c r="G14" s="1">
        <f t="shared" si="2"/>
        <v>-0.62534486321802807</v>
      </c>
      <c r="H14" s="1">
        <f t="shared" si="3"/>
        <v>-0.65710485558019915</v>
      </c>
      <c r="I14" s="1">
        <f t="shared" si="4"/>
        <v>-0.76243085066359662</v>
      </c>
      <c r="J14" s="1">
        <f t="shared" si="5"/>
        <v>-0.56625403751687831</v>
      </c>
      <c r="K14" s="1">
        <f t="shared" si="6"/>
        <v>-0.61823604454178571</v>
      </c>
      <c r="L14" s="1">
        <f>AC$3*(((1+AC$5*(T-20))*$A14)^AC$4) + AC$2*$A14</f>
        <v>-0.69246135234548079</v>
      </c>
      <c r="M14" s="1">
        <f t="shared" si="7"/>
        <v>-0.62440005185881087</v>
      </c>
      <c r="N14" s="1">
        <f t="shared" si="8"/>
        <v>-0.55337562833649223</v>
      </c>
      <c r="O14" s="1">
        <f t="shared" si="9"/>
        <v>-0.68450462184769967</v>
      </c>
      <c r="P14" s="1">
        <v>0</v>
      </c>
      <c r="Q14" s="1">
        <f t="shared" si="10"/>
        <v>-3.3388269832047657</v>
      </c>
      <c r="R14" s="54">
        <f t="shared" si="11"/>
        <v>0</v>
      </c>
      <c r="S14" s="54"/>
      <c r="T14" s="1"/>
    </row>
    <row r="15" spans="1:35" x14ac:dyDescent="0.25">
      <c r="A15" s="1">
        <f>Calculate[[#This Row],[Freq]]</f>
        <v>630000000</v>
      </c>
      <c r="B15">
        <v>-0.5897421937664985</v>
      </c>
      <c r="C15">
        <v>-3.5531934708463617</v>
      </c>
      <c r="E15" s="1">
        <f t="shared" si="0"/>
        <v>-0.90836757432714144</v>
      </c>
      <c r="F15" s="1">
        <f t="shared" si="1"/>
        <v>-0.78821541197888112</v>
      </c>
      <c r="G15" s="1">
        <f t="shared" si="2"/>
        <v>-0.65178209954647015</v>
      </c>
      <c r="H15" s="1">
        <f t="shared" si="3"/>
        <v>-0.68664863537788634</v>
      </c>
      <c r="I15" s="1">
        <f t="shared" si="4"/>
        <v>-0.79011552868075419</v>
      </c>
      <c r="J15" s="1">
        <f t="shared" si="5"/>
        <v>-0.5897421937664985</v>
      </c>
      <c r="K15" s="1">
        <f t="shared" si="6"/>
        <v>-0.64911579352009174</v>
      </c>
      <c r="L15" s="1">
        <f>AC$3*(((1+AC$5*(T-20))*$A15)^AC$4) + AC$2*$A15</f>
        <v>-0.72087768412992892</v>
      </c>
      <c r="M15" s="1">
        <f t="shared" si="7"/>
        <v>-0.64975315246576981</v>
      </c>
      <c r="N15" s="1">
        <f t="shared" si="8"/>
        <v>-0.57554178014928381</v>
      </c>
      <c r="O15" s="1">
        <f t="shared" si="9"/>
        <v>-0.71130813074267707</v>
      </c>
      <c r="P15" s="1">
        <v>0</v>
      </c>
      <c r="Q15" s="1">
        <f t="shared" si="10"/>
        <v>-3.5531934708463617</v>
      </c>
      <c r="R15" s="54">
        <f t="shared" si="11"/>
        <v>0</v>
      </c>
      <c r="S15" s="54"/>
      <c r="T15" s="1"/>
    </row>
    <row r="16" spans="1:35" x14ac:dyDescent="0.25">
      <c r="A16" s="1">
        <f>Calculate[[#This Row],[Freq]]</f>
        <v>675000000</v>
      </c>
      <c r="B16">
        <v>-0.61255112170183201</v>
      </c>
      <c r="C16">
        <v>-3.7661227600503535</v>
      </c>
      <c r="E16" s="1">
        <f t="shared" si="0"/>
        <v>-0.94036299219056818</v>
      </c>
      <c r="F16" s="1">
        <f t="shared" si="1"/>
        <v>-0.81790178487792031</v>
      </c>
      <c r="G16" s="1">
        <f t="shared" si="2"/>
        <v>-0.67748608131913934</v>
      </c>
      <c r="H16" s="1">
        <f t="shared" si="3"/>
        <v>-0.71548161448658765</v>
      </c>
      <c r="I16" s="1">
        <f t="shared" si="4"/>
        <v>-0.81685875764336757</v>
      </c>
      <c r="J16" s="1">
        <f t="shared" si="5"/>
        <v>-0.61255112170183201</v>
      </c>
      <c r="K16" s="1">
        <f t="shared" si="6"/>
        <v>-0.67943114345792432</v>
      </c>
      <c r="L16" s="1">
        <f>AC$3*(((1+AC$5*(T-20))*$A16)^AC$4) + AC$2*$A16</f>
        <v>-0.74845301430071443</v>
      </c>
      <c r="M16" s="1">
        <f t="shared" si="7"/>
        <v>-0.67433876751990041</v>
      </c>
      <c r="N16" s="1">
        <f t="shared" si="8"/>
        <v>-0.5970174894391107</v>
      </c>
      <c r="O16" s="1">
        <f t="shared" si="9"/>
        <v>-0.73723676885253542</v>
      </c>
      <c r="P16" s="1">
        <v>0</v>
      </c>
      <c r="Q16" s="1">
        <f t="shared" si="10"/>
        <v>-3.7661227600503535</v>
      </c>
      <c r="R16" s="54">
        <f t="shared" si="11"/>
        <v>0</v>
      </c>
      <c r="S16" s="54"/>
      <c r="T16" s="1"/>
    </row>
    <row r="17" spans="1:20" x14ac:dyDescent="0.25">
      <c r="A17" s="1">
        <f>Calculate[[#This Row],[Freq]]</f>
        <v>720000000</v>
      </c>
      <c r="B17">
        <v>-0.6347477254931122</v>
      </c>
      <c r="C17">
        <v>-3.9777564152464118</v>
      </c>
      <c r="E17" s="1">
        <f t="shared" si="0"/>
        <v>-0.9714216381557409</v>
      </c>
      <c r="F17" s="1">
        <f t="shared" si="1"/>
        <v>-0.84674444012527539</v>
      </c>
      <c r="G17" s="1">
        <f t="shared" si="2"/>
        <v>-0.7025290343054742</v>
      </c>
      <c r="H17" s="1">
        <f t="shared" si="3"/>
        <v>-0.74367380696387009</v>
      </c>
      <c r="I17" s="1">
        <f t="shared" si="4"/>
        <v>-0.8427562026860409</v>
      </c>
      <c r="J17" s="1">
        <f t="shared" si="5"/>
        <v>-0.6347477254931122</v>
      </c>
      <c r="K17" s="1">
        <f t="shared" si="6"/>
        <v>-0.70923768781139984</v>
      </c>
      <c r="L17" s="1">
        <f>AC$3*(((1+AC$5*(T-20))*$A17)^AC$4) + AC$2*$A17</f>
        <v>-0.77527018174123352</v>
      </c>
      <c r="M17" s="1">
        <f t="shared" si="7"/>
        <v>-0.69823249455298675</v>
      </c>
      <c r="N17" s="1">
        <f t="shared" si="8"/>
        <v>-0.61787076497875393</v>
      </c>
      <c r="O17" s="1">
        <f t="shared" si="9"/>
        <v>-0.76237671118309913</v>
      </c>
      <c r="P17" s="1">
        <v>0</v>
      </c>
      <c r="Q17" s="1">
        <f t="shared" si="10"/>
        <v>-3.9777564152464118</v>
      </c>
      <c r="R17" s="54">
        <f t="shared" si="11"/>
        <v>0</v>
      </c>
      <c r="S17" s="54"/>
      <c r="T17" s="1"/>
    </row>
    <row r="18" spans="1:20" x14ac:dyDescent="0.25">
      <c r="A18" s="1">
        <f>Calculate[[#This Row],[Freq]]</f>
        <v>765000000</v>
      </c>
      <c r="B18">
        <v>-0.656388597763088</v>
      </c>
      <c r="C18">
        <v>-4.1882141823686867</v>
      </c>
      <c r="E18" s="1">
        <f t="shared" si="0"/>
        <v>-1.0016328379826944</v>
      </c>
      <c r="F18" s="1">
        <f t="shared" si="1"/>
        <v>-0.87482135634588243</v>
      </c>
      <c r="G18" s="1">
        <f t="shared" si="2"/>
        <v>-0.72697205254054509</v>
      </c>
      <c r="H18" s="1">
        <f t="shared" si="3"/>
        <v>-0.77128443601111629</v>
      </c>
      <c r="I18" s="1">
        <f t="shared" si="4"/>
        <v>-0.86788851342221218</v>
      </c>
      <c r="J18" s="1">
        <f t="shared" si="5"/>
        <v>-0.656388597763088</v>
      </c>
      <c r="K18" s="1">
        <f t="shared" si="6"/>
        <v>-0.73858245174320003</v>
      </c>
      <c r="L18" s="1">
        <f>AC$3*(((1+AC$5*(T-20))*$A18)^AC$4) + AC$2*$A18</f>
        <v>-0.80139925786348798</v>
      </c>
      <c r="M18" s="1">
        <f t="shared" si="7"/>
        <v>-0.72149827969248415</v>
      </c>
      <c r="N18" s="1">
        <f t="shared" si="8"/>
        <v>-0.63815913374759614</v>
      </c>
      <c r="O18" s="1">
        <f t="shared" si="9"/>
        <v>-0.78680085109180764</v>
      </c>
      <c r="P18" s="1">
        <v>0</v>
      </c>
      <c r="Q18" s="1">
        <f t="shared" si="10"/>
        <v>-4.1882141823686867</v>
      </c>
      <c r="R18" s="54">
        <f t="shared" si="11"/>
        <v>0</v>
      </c>
      <c r="S18" s="54"/>
      <c r="T18" s="1"/>
    </row>
    <row r="19" spans="1:20" x14ac:dyDescent="0.25">
      <c r="A19" s="1">
        <f>Calculate[[#This Row],[Freq]]</f>
        <v>810000000</v>
      </c>
      <c r="B19">
        <v>-0.67752211622752445</v>
      </c>
      <c r="C19">
        <v>-4.3975984251968505</v>
      </c>
      <c r="E19" s="1">
        <f t="shared" si="0"/>
        <v>-1.0310727112796949</v>
      </c>
      <c r="F19" s="1">
        <f t="shared" si="1"/>
        <v>-0.90219919289514205</v>
      </c>
      <c r="G19" s="1">
        <f t="shared" si="2"/>
        <v>-0.75086736173364044</v>
      </c>
      <c r="H19" s="1">
        <f t="shared" si="3"/>
        <v>-0.79836412807156154</v>
      </c>
      <c r="I19" s="1">
        <f t="shared" si="4"/>
        <v>-0.8923244160175402</v>
      </c>
      <c r="J19" s="1">
        <f t="shared" si="5"/>
        <v>-0.67752211622752445</v>
      </c>
      <c r="K19" s="1">
        <f t="shared" si="6"/>
        <v>-0.76750563430831686</v>
      </c>
      <c r="L19" s="1">
        <f>AC$3*(((1+AC$5*(T-20))*$A19)^AC$4) + AC$2*$A19</f>
        <v>-0.82690014261005629</v>
      </c>
      <c r="M19" s="1">
        <f t="shared" si="7"/>
        <v>-0.74419078673427286</v>
      </c>
      <c r="N19" s="1">
        <f t="shared" si="8"/>
        <v>-0.6579317721881166</v>
      </c>
      <c r="O19" s="1">
        <f t="shared" si="9"/>
        <v>-0.81057150083697416</v>
      </c>
      <c r="P19" s="1">
        <v>0</v>
      </c>
      <c r="Q19" s="1">
        <f t="shared" si="10"/>
        <v>-4.3975984251968505</v>
      </c>
      <c r="R19" s="54">
        <f t="shared" si="11"/>
        <v>0</v>
      </c>
      <c r="S19" s="54"/>
      <c r="T19" s="1"/>
    </row>
    <row r="20" spans="1:20" x14ac:dyDescent="0.25">
      <c r="A20" s="1">
        <f>Calculate[[#This Row],[Freq]]</f>
        <v>855000000</v>
      </c>
      <c r="B20">
        <v>-0.69819002212390702</v>
      </c>
      <c r="C20">
        <v>-4.6059974651981292</v>
      </c>
      <c r="E20" s="1">
        <f t="shared" si="0"/>
        <v>-1.0598067415726562</v>
      </c>
      <c r="F20" s="1">
        <f t="shared" si="1"/>
        <v>-0.92893546476607214</v>
      </c>
      <c r="G20" s="1">
        <f t="shared" si="2"/>
        <v>-0.77426002324617027</v>
      </c>
      <c r="H20" s="1">
        <f t="shared" si="3"/>
        <v>-0.82495656462864797</v>
      </c>
      <c r="I20" s="1">
        <f t="shared" si="4"/>
        <v>-0.91612303363033265</v>
      </c>
      <c r="J20" s="1">
        <f t="shared" si="5"/>
        <v>-0.69819002212390702</v>
      </c>
      <c r="K20" s="1">
        <f t="shared" si="6"/>
        <v>-0.79604192003607488</v>
      </c>
      <c r="L20" s="1">
        <f>AC$3*(((1+AC$5*(T-20))*$A20)^AC$4) + AC$2*$A20</f>
        <v>-0.85182451882063037</v>
      </c>
      <c r="M20" s="1">
        <f t="shared" si="7"/>
        <v>-0.76635718066846525</v>
      </c>
      <c r="N20" s="1">
        <f t="shared" si="8"/>
        <v>-0.67723111069480157</v>
      </c>
      <c r="O20" s="1">
        <f t="shared" si="9"/>
        <v>-0.8337424246513947</v>
      </c>
      <c r="P20" s="1">
        <v>0</v>
      </c>
      <c r="Q20" s="1">
        <f t="shared" si="10"/>
        <v>-4.6059974651981292</v>
      </c>
      <c r="R20" s="54">
        <f t="shared" si="11"/>
        <v>0</v>
      </c>
      <c r="S20" s="54"/>
      <c r="T20" s="1"/>
    </row>
    <row r="21" spans="1:20" x14ac:dyDescent="0.25">
      <c r="A21" s="1">
        <f>Calculate[[#This Row],[Freq]]</f>
        <v>900000000</v>
      </c>
      <c r="B21">
        <v>-0.71842862887332892</v>
      </c>
      <c r="C21">
        <v>-4.8134881389692321</v>
      </c>
      <c r="E21" s="1">
        <f t="shared" si="0"/>
        <v>-1.0878917384365756</v>
      </c>
      <c r="F21" s="1">
        <f t="shared" si="1"/>
        <v>-0.95508020799704696</v>
      </c>
      <c r="G21" s="1">
        <f t="shared" si="2"/>
        <v>-0.79718923889126903</v>
      </c>
      <c r="H21" s="1">
        <f t="shared" si="3"/>
        <v>-0.85109974704979452</v>
      </c>
      <c r="I21" s="1">
        <f t="shared" si="4"/>
        <v>-0.93933565796257268</v>
      </c>
      <c r="J21" s="1">
        <f t="shared" si="5"/>
        <v>-0.71842862887332892</v>
      </c>
      <c r="K21" s="1">
        <f t="shared" si="6"/>
        <v>-0.82422148325753519</v>
      </c>
      <c r="L21" s="1">
        <f>AC$3*(((1+AC$5*(T-20))*$A21)^AC$4) + AC$2*$A21</f>
        <v>-0.87621734876355939</v>
      </c>
      <c r="M21" s="1">
        <f t="shared" si="7"/>
        <v>-0.78803849339181364</v>
      </c>
      <c r="N21" s="1">
        <f t="shared" si="8"/>
        <v>-0.69609406223130343</v>
      </c>
      <c r="O21" s="1">
        <f t="shared" si="9"/>
        <v>-0.85636039554283983</v>
      </c>
      <c r="P21" s="1">
        <v>0</v>
      </c>
      <c r="Q21" s="1">
        <f t="shared" si="10"/>
        <v>-4.8134881389692321</v>
      </c>
      <c r="R21" s="54">
        <f t="shared" si="11"/>
        <v>0</v>
      </c>
      <c r="S21" s="54"/>
      <c r="T21" s="1"/>
    </row>
    <row r="22" spans="1:20" x14ac:dyDescent="0.25">
      <c r="A22" s="1">
        <f>Calculate[[#This Row],[Freq]]</f>
        <v>945000000</v>
      </c>
      <c r="B22">
        <v>-0.7382697616394045</v>
      </c>
      <c r="C22">
        <v>-5.0201377862756873</v>
      </c>
      <c r="E22" s="1">
        <f t="shared" si="0"/>
        <v>-1.115377358479736</v>
      </c>
      <c r="F22" s="1">
        <f t="shared" si="1"/>
        <v>-0.98067727428421447</v>
      </c>
      <c r="G22" s="1">
        <f t="shared" si="2"/>
        <v>-0.81968936522580793</v>
      </c>
      <c r="H22" s="1">
        <f t="shared" si="3"/>
        <v>-0.87682697981855751</v>
      </c>
      <c r="I22" s="1">
        <f t="shared" si="4"/>
        <v>-0.96200712251202281</v>
      </c>
      <c r="J22" s="1">
        <f t="shared" si="5"/>
        <v>-0.7382697616394045</v>
      </c>
      <c r="K22" s="1">
        <f t="shared" si="6"/>
        <v>-0.85207076882405208</v>
      </c>
      <c r="L22" s="1">
        <f>AC$3*(((1+AC$5*(T-20))*$A22)^AC$4) + AC$2*$A22</f>
        <v>-0.90011803747157193</v>
      </c>
      <c r="M22" s="1">
        <f t="shared" si="7"/>
        <v>-0.80927068535057201</v>
      </c>
      <c r="N22" s="1">
        <f t="shared" si="8"/>
        <v>-0.714552977401679</v>
      </c>
      <c r="O22" s="1">
        <f t="shared" si="9"/>
        <v>-0.878466405480125</v>
      </c>
      <c r="P22" s="1">
        <v>0</v>
      </c>
      <c r="Q22" s="1">
        <f t="shared" si="10"/>
        <v>-5.0201377862756873</v>
      </c>
      <c r="R22" s="54">
        <f t="shared" si="11"/>
        <v>0</v>
      </c>
      <c r="S22" s="54"/>
      <c r="T22" s="1"/>
    </row>
    <row r="23" spans="1:20" x14ac:dyDescent="0.25">
      <c r="A23" s="1">
        <f>Calculate[[#This Row],[Freq]]</f>
        <v>990000000</v>
      </c>
      <c r="B23">
        <v>-0.75774149758006537</v>
      </c>
      <c r="C23">
        <v>-5.2260058163715879</v>
      </c>
      <c r="E23" s="1">
        <f t="shared" si="0"/>
        <v>-1.1423073004967548</v>
      </c>
      <c r="F23" s="1">
        <f t="shared" si="1"/>
        <v>-1.005765350969869</v>
      </c>
      <c r="G23" s="1">
        <f t="shared" si="2"/>
        <v>-0.84179071268227879</v>
      </c>
      <c r="H23" s="1">
        <f t="shared" si="3"/>
        <v>-0.90216764519533854</v>
      </c>
      <c r="I23" s="1">
        <f t="shared" si="4"/>
        <v>-0.9841768816409211</v>
      </c>
      <c r="J23" s="1">
        <f t="shared" si="5"/>
        <v>-0.75774149758006537</v>
      </c>
      <c r="K23" s="1">
        <f t="shared" si="6"/>
        <v>-0.87961310721326069</v>
      </c>
      <c r="L23" s="1">
        <f>AC$3*(((1+AC$5*(T-20))*$A23)^AC$4) + AC$2*$A23</f>
        <v>-0.92356134930096889</v>
      </c>
      <c r="M23" s="1">
        <f t="shared" si="7"/>
        <v>-0.83008548197877174</v>
      </c>
      <c r="N23" s="1">
        <f t="shared" si="8"/>
        <v>-0.73263639692390525</v>
      </c>
      <c r="O23" s="1">
        <f t="shared" si="9"/>
        <v>-0.90009661886436088</v>
      </c>
      <c r="P23" s="1">
        <v>0</v>
      </c>
      <c r="Q23" s="1">
        <f t="shared" si="10"/>
        <v>-5.2260058163715879</v>
      </c>
      <c r="R23" s="54">
        <f t="shared" si="11"/>
        <v>0</v>
      </c>
      <c r="S23" s="54"/>
      <c r="T23" s="1"/>
    </row>
    <row r="24" spans="1:20" x14ac:dyDescent="0.25">
      <c r="A24" s="1">
        <f>Calculate[[#This Row],[Freq]]</f>
        <v>1035000000</v>
      </c>
      <c r="B24">
        <v>-0.77686875615242179</v>
      </c>
      <c r="C24">
        <v>-5.4311449570423802</v>
      </c>
      <c r="E24" s="1">
        <f t="shared" si="0"/>
        <v>-1.1687202561235108</v>
      </c>
      <c r="F24" s="1">
        <f t="shared" si="1"/>
        <v>-1.0303787744198691</v>
      </c>
      <c r="G24" s="1">
        <f t="shared" si="2"/>
        <v>-0.86352018282686915</v>
      </c>
      <c r="H24" s="1">
        <f t="shared" si="3"/>
        <v>-0.92714782096121728</v>
      </c>
      <c r="I24" s="1">
        <f t="shared" si="4"/>
        <v>-1.0058798688944814</v>
      </c>
      <c r="J24" s="1">
        <f t="shared" si="5"/>
        <v>-0.77686875615242179</v>
      </c>
      <c r="K24" s="1">
        <f t="shared" si="6"/>
        <v>-0.90686920503792501</v>
      </c>
      <c r="L24" s="1">
        <f>AC$3*(((1+AC$5*(T-20))*$A24)^AC$4) + AC$2*$A24</f>
        <v>-0.94657813883068986</v>
      </c>
      <c r="M24" s="1">
        <f t="shared" si="7"/>
        <v>-0.85051104070582806</v>
      </c>
      <c r="N24" s="1">
        <f t="shared" si="8"/>
        <v>-0.75036965168080338</v>
      </c>
      <c r="O24" s="1">
        <f t="shared" si="9"/>
        <v>-0.92128313286309504</v>
      </c>
      <c r="P24" s="1">
        <v>0</v>
      </c>
      <c r="Q24" s="1">
        <f t="shared" si="10"/>
        <v>-5.4311449570423802</v>
      </c>
      <c r="R24" s="54">
        <f t="shared" si="11"/>
        <v>0</v>
      </c>
      <c r="S24" s="54"/>
      <c r="T24" s="1"/>
    </row>
    <row r="25" spans="1:20" x14ac:dyDescent="0.25">
      <c r="A25" s="1">
        <f>Calculate[[#This Row],[Freq]]</f>
        <v>1080000000</v>
      </c>
      <c r="B25">
        <v>-0.79567377500306335</v>
      </c>
      <c r="C25">
        <v>-5.6356022615546362</v>
      </c>
      <c r="E25" s="1">
        <f t="shared" si="0"/>
        <v>-1.1946506743929968</v>
      </c>
      <c r="F25" s="1">
        <f t="shared" si="1"/>
        <v>-1.0545481857499408</v>
      </c>
      <c r="G25" s="1">
        <f t="shared" si="2"/>
        <v>-0.88490178210237413</v>
      </c>
      <c r="H25" s="1">
        <f t="shared" si="3"/>
        <v>-0.95179077842892468</v>
      </c>
      <c r="I25" s="1">
        <f t="shared" si="4"/>
        <v>-1.0271471872959874</v>
      </c>
      <c r="J25" s="1">
        <f t="shared" si="5"/>
        <v>-0.79567377500306335</v>
      </c>
      <c r="K25" s="1">
        <f t="shared" si="6"/>
        <v>-0.93385754048296998</v>
      </c>
      <c r="L25" s="1">
        <f>AC$3*(((1+AC$5*(T-20))*$A25)^AC$4) + AC$2*$A25</f>
        <v>-0.96919594009645293</v>
      </c>
      <c r="M25" s="1">
        <f t="shared" si="7"/>
        <v>-0.87057248868284409</v>
      </c>
      <c r="N25" s="1">
        <f t="shared" si="8"/>
        <v>-0.76777534646739332</v>
      </c>
      <c r="O25" s="1">
        <f t="shared" si="9"/>
        <v>-0.94205459037433681</v>
      </c>
      <c r="P25" s="1">
        <v>0</v>
      </c>
      <c r="Q25" s="1">
        <f t="shared" si="10"/>
        <v>-5.6356022615546362</v>
      </c>
      <c r="R25" s="54">
        <f t="shared" si="11"/>
        <v>0</v>
      </c>
      <c r="S25" s="54"/>
      <c r="T25" s="1"/>
    </row>
    <row r="26" spans="1:20" x14ac:dyDescent="0.25">
      <c r="A26" s="1">
        <f>Calculate[[#This Row],[Freq]]</f>
        <v>1125000000</v>
      </c>
      <c r="B26">
        <v>-0.81417649743429266</v>
      </c>
      <c r="C26">
        <v>-5.8394199285068336</v>
      </c>
      <c r="E26" s="1">
        <f t="shared" si="0"/>
        <v>-1.2201293828050359</v>
      </c>
      <c r="F26" s="1">
        <f t="shared" si="1"/>
        <v>-1.0783010647130036</v>
      </c>
      <c r="G26" s="1">
        <f t="shared" si="2"/>
        <v>-0.90595704011373324</v>
      </c>
      <c r="H26" s="1">
        <f t="shared" si="3"/>
        <v>-0.97611738791955771</v>
      </c>
      <c r="I26" s="1">
        <f t="shared" si="4"/>
        <v>-1.0480066700924551</v>
      </c>
      <c r="J26" s="1">
        <f t="shared" si="5"/>
        <v>-0.81417649743429266</v>
      </c>
      <c r="K26" s="1">
        <f t="shared" si="6"/>
        <v>-0.96059468526728087</v>
      </c>
      <c r="L26" s="1">
        <f>AC$3*(((1+AC$5*(T-20))*$A26)^AC$4) + AC$2*$A26</f>
        <v>-0.99143944634067038</v>
      </c>
      <c r="M26" s="1">
        <f t="shared" si="7"/>
        <v>-0.89029236059524275</v>
      </c>
      <c r="N26" s="1">
        <f t="shared" si="8"/>
        <v>-0.78487375385427971</v>
      </c>
      <c r="O26" s="1">
        <f t="shared" si="9"/>
        <v>-0.96243667909716513</v>
      </c>
      <c r="P26" s="1">
        <v>0</v>
      </c>
      <c r="Q26" s="1">
        <f t="shared" si="10"/>
        <v>-5.8394199285068336</v>
      </c>
      <c r="R26" s="54">
        <f t="shared" si="11"/>
        <v>0</v>
      </c>
      <c r="S26" s="54"/>
      <c r="T26" s="1"/>
    </row>
    <row r="27" spans="1:20" x14ac:dyDescent="0.25">
      <c r="A27" s="1">
        <f>Calculate[[#This Row],[Freq]]</f>
        <v>1170000000</v>
      </c>
      <c r="B27">
        <v>-0.83239489073474437</v>
      </c>
      <c r="C27">
        <v>-6.0426359753941377</v>
      </c>
      <c r="E27" s="1">
        <f t="shared" si="0"/>
        <v>-1.2451840964614527</v>
      </c>
      <c r="F27" s="1">
        <f t="shared" si="1"/>
        <v>-1.1016621683249641</v>
      </c>
      <c r="G27" s="1">
        <f t="shared" si="2"/>
        <v>-0.92670535327886572</v>
      </c>
      <c r="H27" s="1">
        <f t="shared" si="3"/>
        <v>-1.0001464518900696</v>
      </c>
      <c r="I27" s="1">
        <f t="shared" si="4"/>
        <v>-1.0684833404378742</v>
      </c>
      <c r="J27" s="1">
        <f t="shared" si="5"/>
        <v>-0.83239489073474437</v>
      </c>
      <c r="K27" s="1">
        <f t="shared" si="6"/>
        <v>-0.98709556915784802</v>
      </c>
      <c r="L27" s="1">
        <f>AC$3*(((1+AC$5*(T-20))*$A27)^AC$4) + AC$2*$A27</f>
        <v>-1.013330904160572</v>
      </c>
      <c r="M27" s="1">
        <f t="shared" si="7"/>
        <v>-0.90969095835647595</v>
      </c>
      <c r="N27" s="1">
        <f t="shared" si="8"/>
        <v>-0.80168313777397959</v>
      </c>
      <c r="O27" s="1">
        <f t="shared" si="9"/>
        <v>-0.98245254155314998</v>
      </c>
      <c r="P27" s="1">
        <v>0</v>
      </c>
      <c r="Q27" s="1">
        <f t="shared" si="10"/>
        <v>-6.0426359753941377</v>
      </c>
      <c r="R27" s="54">
        <f t="shared" si="11"/>
        <v>0</v>
      </c>
      <c r="S27" s="54"/>
      <c r="T27" s="1"/>
    </row>
    <row r="28" spans="1:20" x14ac:dyDescent="0.25">
      <c r="A28" s="1">
        <f>Calculate[[#This Row],[Freq]]</f>
        <v>1215000000</v>
      </c>
      <c r="B28">
        <v>-0.85034520987917206</v>
      </c>
      <c r="C28">
        <v>-6.2452847965782485</v>
      </c>
      <c r="E28" s="1">
        <f t="shared" si="0"/>
        <v>-1.2698398389408434</v>
      </c>
      <c r="F28" s="1">
        <f t="shared" si="1"/>
        <v>-1.1246538942150195</v>
      </c>
      <c r="G28" s="1">
        <f t="shared" si="2"/>
        <v>-0.94716426950330046</v>
      </c>
      <c r="H28" s="1">
        <f t="shared" si="3"/>
        <v>-1.0238949808905373</v>
      </c>
      <c r="I28" s="1">
        <f t="shared" si="4"/>
        <v>-1.0885997913887135</v>
      </c>
      <c r="J28" s="1">
        <f t="shared" si="5"/>
        <v>-0.85034520987917206</v>
      </c>
      <c r="K28" s="1">
        <f t="shared" si="6"/>
        <v>-1.0133736990888798</v>
      </c>
      <c r="L28" s="1">
        <f>AC$3*(((1+AC$5*(T-20))*$A28)^AC$4) + AC$2*$A28</f>
        <v>-1.0348904400139487</v>
      </c>
      <c r="M28" s="1">
        <f t="shared" si="7"/>
        <v>-0.92878664907230535</v>
      </c>
      <c r="N28" s="1">
        <f t="shared" si="8"/>
        <v>-0.81822002157445028</v>
      </c>
      <c r="O28" s="1">
        <f t="shared" si="9"/>
        <v>-1.002123114741273</v>
      </c>
      <c r="P28" s="1">
        <v>0</v>
      </c>
      <c r="Q28" s="1">
        <f t="shared" si="10"/>
        <v>-6.2452847965782485</v>
      </c>
      <c r="R28" s="54">
        <f t="shared" si="11"/>
        <v>0</v>
      </c>
      <c r="S28" s="54"/>
      <c r="T28" s="1"/>
    </row>
    <row r="29" spans="1:20" x14ac:dyDescent="0.25">
      <c r="A29" s="1">
        <f>Calculate[[#This Row],[Freq]]</f>
        <v>1260000000</v>
      </c>
      <c r="B29">
        <v>-0.86804221763731493</v>
      </c>
      <c r="C29">
        <v>-6.4473976290219914</v>
      </c>
      <c r="E29" s="1">
        <f t="shared" si="0"/>
        <v>-1.294119292893845</v>
      </c>
      <c r="F29" s="1">
        <f t="shared" si="1"/>
        <v>-1.1472965839123057</v>
      </c>
      <c r="G29" s="1">
        <f t="shared" si="2"/>
        <v>-0.96734972579664058</v>
      </c>
      <c r="H29" s="1">
        <f t="shared" si="3"/>
        <v>-1.0473784239042876</v>
      </c>
      <c r="I29" s="1">
        <f t="shared" si="4"/>
        <v>-1.1083765024461263</v>
      </c>
      <c r="J29" s="1">
        <f t="shared" si="5"/>
        <v>-0.86804221763731493</v>
      </c>
      <c r="K29" s="1">
        <f t="shared" si="6"/>
        <v>-1.0394413420594111</v>
      </c>
      <c r="L29" s="1">
        <f>AC$3*(((1+AC$5*(T-20))*$A29)^AC$4) + AC$2*$A29</f>
        <v>-1.0561363327518307</v>
      </c>
      <c r="M29" s="1">
        <f t="shared" si="7"/>
        <v>-0.94759611375006858</v>
      </c>
      <c r="N29" s="1">
        <f t="shared" si="8"/>
        <v>-0.8344994117620026</v>
      </c>
      <c r="O29" s="1">
        <f t="shared" si="9"/>
        <v>-1.0214674136461583</v>
      </c>
      <c r="P29" s="1">
        <v>0</v>
      </c>
      <c r="Q29" s="1">
        <f t="shared" si="10"/>
        <v>-6.4473976290219914</v>
      </c>
      <c r="R29" s="54">
        <f t="shared" si="11"/>
        <v>0</v>
      </c>
      <c r="S29" s="54"/>
      <c r="T29" s="1"/>
    </row>
    <row r="30" spans="1:20" x14ac:dyDescent="0.25">
      <c r="A30" s="1">
        <f>Calculate[[#This Row],[Freq]]</f>
        <v>1305000000</v>
      </c>
      <c r="B30">
        <v>-0.88549936958820885</v>
      </c>
      <c r="C30">
        <v>-6.6490029437663436</v>
      </c>
      <c r="E30" s="1">
        <f t="shared" si="0"/>
        <v>-1.3180430941691101</v>
      </c>
      <c r="F30" s="1">
        <f t="shared" si="1"/>
        <v>-1.1696087777759712</v>
      </c>
      <c r="G30" s="1">
        <f t="shared" si="2"/>
        <v>-0.9872762480030256</v>
      </c>
      <c r="H30" s="1">
        <f t="shared" si="3"/>
        <v>-1.0706108619621726</v>
      </c>
      <c r="I30" s="1">
        <f t="shared" si="4"/>
        <v>-1.1278321051136802</v>
      </c>
      <c r="J30" s="1">
        <f t="shared" si="5"/>
        <v>-0.88549936958820885</v>
      </c>
      <c r="K30" s="1">
        <f t="shared" si="6"/>
        <v>-1.0653096788693837</v>
      </c>
      <c r="L30" s="1">
        <f>AC$3*(((1+AC$5*(T-20))*$A30)^AC$4) + AC$2*$A30</f>
        <v>-1.0770852426980657</v>
      </c>
      <c r="M30" s="1">
        <f t="shared" si="7"/>
        <v>-0.96613455635328993</v>
      </c>
      <c r="N30" s="1">
        <f t="shared" si="8"/>
        <v>-0.85053498607023803</v>
      </c>
      <c r="O30" s="1">
        <f t="shared" si="9"/>
        <v>-1.0405027695432372</v>
      </c>
      <c r="P30" s="1">
        <v>0</v>
      </c>
      <c r="Q30" s="1">
        <f t="shared" si="10"/>
        <v>-6.6490029437663436</v>
      </c>
      <c r="R30" s="54">
        <f t="shared" si="11"/>
        <v>0</v>
      </c>
      <c r="S30" s="54"/>
      <c r="T30" s="1"/>
    </row>
    <row r="31" spans="1:20" x14ac:dyDescent="0.25">
      <c r="A31" s="1">
        <f>Calculate[[#This Row],[Freq]]</f>
        <v>1350000000</v>
      </c>
      <c r="B31">
        <v>-0.90272897064587343</v>
      </c>
      <c r="C31">
        <v>-6.8501267771275636</v>
      </c>
      <c r="E31" s="1">
        <f t="shared" si="0"/>
        <v>-1.3416300801864403</v>
      </c>
      <c r="F31" s="1">
        <f t="shared" si="1"/>
        <v>-1.1916074306709545</v>
      </c>
      <c r="G31" s="1">
        <f t="shared" si="2"/>
        <v>-1.0069571197769696</v>
      </c>
      <c r="H31" s="1">
        <f t="shared" si="3"/>
        <v>-1.0936051719439974</v>
      </c>
      <c r="I31" s="1">
        <f t="shared" si="4"/>
        <v>-1.146983607146189</v>
      </c>
      <c r="J31" s="1">
        <f t="shared" si="5"/>
        <v>-0.90272897064587343</v>
      </c>
      <c r="K31" s="1">
        <f t="shared" si="6"/>
        <v>-1.0909889341833463</v>
      </c>
      <c r="L31" s="1">
        <f>AC$3*(((1+AC$5*(T-20))*$A31)^AC$4) + AC$2*$A31</f>
        <v>-1.0977524054550698</v>
      </c>
      <c r="M31" s="1">
        <f t="shared" si="7"/>
        <v>-0.98441588066592589</v>
      </c>
      <c r="N31" s="1">
        <f t="shared" si="8"/>
        <v>-0.86633925257000988</v>
      </c>
      <c r="O31" s="1">
        <f t="shared" si="9"/>
        <v>-1.0592450316095274</v>
      </c>
      <c r="P31" s="1">
        <v>0</v>
      </c>
      <c r="Q31" s="1">
        <f t="shared" si="10"/>
        <v>-6.8501267771275636</v>
      </c>
      <c r="R31" s="54">
        <f t="shared" si="11"/>
        <v>0</v>
      </c>
      <c r="S31" s="54"/>
      <c r="T31" s="1"/>
    </row>
    <row r="32" spans="1:20" x14ac:dyDescent="0.25">
      <c r="A32" s="1">
        <f>Calculate[[#This Row],[Freq]]</f>
        <v>1395000000</v>
      </c>
      <c r="B32">
        <v>-0.91974230828121062</v>
      </c>
      <c r="C32">
        <v>-7.0507930125851894</v>
      </c>
      <c r="E32" s="1">
        <f t="shared" si="0"/>
        <v>-1.3648975009525341</v>
      </c>
      <c r="F32" s="1">
        <f t="shared" si="1"/>
        <v>-1.2133080955336133</v>
      </c>
      <c r="G32" s="1">
        <f t="shared" si="2"/>
        <v>-1.0264045264018127</v>
      </c>
      <c r="H32" s="1">
        <f t="shared" si="3"/>
        <v>-1.1163731659929326</v>
      </c>
      <c r="I32" s="1">
        <f t="shared" si="4"/>
        <v>-1.1658465830696512</v>
      </c>
      <c r="J32" s="1">
        <f t="shared" si="5"/>
        <v>-0.91974230828121062</v>
      </c>
      <c r="K32" s="1">
        <f t="shared" si="6"/>
        <v>-1.1164884872300687</v>
      </c>
      <c r="L32" s="1">
        <f>AC$3*(((1+AC$5*(T-20))*$A32)^AC$4) + AC$2*$A32</f>
        <v>-1.1181517968554799</v>
      </c>
      <c r="M32" s="1">
        <f t="shared" si="7"/>
        <v>-1.0024528408247855</v>
      </c>
      <c r="N32" s="1">
        <f t="shared" si="8"/>
        <v>-0.88192368509084396</v>
      </c>
      <c r="O32" s="1">
        <f t="shared" si="9"/>
        <v>-1.0777087385182891</v>
      </c>
      <c r="P32" s="1">
        <v>0</v>
      </c>
      <c r="Q32" s="1">
        <f t="shared" si="10"/>
        <v>-7.0507930125851894</v>
      </c>
      <c r="R32" s="54">
        <f t="shared" si="11"/>
        <v>0</v>
      </c>
      <c r="S32" s="54"/>
      <c r="T32" s="1"/>
    </row>
    <row r="33" spans="1:20" x14ac:dyDescent="0.25">
      <c r="A33" s="1">
        <f>Calculate[[#This Row],[Freq]]</f>
        <v>1440000000</v>
      </c>
      <c r="B33">
        <v>-0.93654976654534328</v>
      </c>
      <c r="C33">
        <v>-7.2510236220472448</v>
      </c>
      <c r="E33" s="1">
        <f t="shared" si="0"/>
        <v>-1.3878611993546202</v>
      </c>
      <c r="F33" s="1">
        <f t="shared" si="1"/>
        <v>-1.2347250804837782</v>
      </c>
      <c r="G33" s="1">
        <f t="shared" si="2"/>
        <v>-1.0456296778825456</v>
      </c>
      <c r="H33" s="1">
        <f t="shared" si="3"/>
        <v>-1.1389257108389677</v>
      </c>
      <c r="I33" s="1">
        <f t="shared" si="4"/>
        <v>-1.1844353369630944</v>
      </c>
      <c r="J33" s="1">
        <f t="shared" si="5"/>
        <v>-0.93654976654534328</v>
      </c>
      <c r="K33" s="1">
        <f t="shared" si="6"/>
        <v>-1.1418169665492726</v>
      </c>
      <c r="L33" s="1">
        <f>AC$3*(((1+AC$5*(T-20))*$A33)^AC$4) + AC$2*$A33</f>
        <v>-1.1382962741426808</v>
      </c>
      <c r="M33" s="1">
        <f t="shared" si="7"/>
        <v>-1.0202571701587788</v>
      </c>
      <c r="N33" s="1">
        <f t="shared" si="8"/>
        <v>-0.89729883912682873</v>
      </c>
      <c r="O33" s="1">
        <f t="shared" si="9"/>
        <v>-1.0959072653052317</v>
      </c>
      <c r="P33" s="1">
        <v>0</v>
      </c>
      <c r="Q33" s="1">
        <f t="shared" si="10"/>
        <v>-7.2510236220472448</v>
      </c>
      <c r="R33" s="54">
        <f t="shared" si="11"/>
        <v>0</v>
      </c>
      <c r="S33" s="54"/>
      <c r="T33" s="1"/>
    </row>
    <row r="34" spans="1:20" x14ac:dyDescent="0.25">
      <c r="A34" s="1">
        <f>Calculate[[#This Row],[Freq]]</f>
        <v>1485000000</v>
      </c>
      <c r="B34">
        <v>-0.95316092417137721</v>
      </c>
      <c r="C34">
        <v>-7.4508388734265436</v>
      </c>
      <c r="E34" s="1">
        <f t="shared" ref="E34:E65" si="12">V$3*(((1+V$5*(T-20))*$A34)^V$4) + V$2*$A34</f>
        <v>-1.4105357660193476</v>
      </c>
      <c r="F34" s="1">
        <f t="shared" ref="F34:F65" si="13">W$3*(((1+W$5*(T-20))*$A34)^W$4) + W$2*$A34</f>
        <v>-1.2558715839985639</v>
      </c>
      <c r="G34" s="1">
        <f t="shared" ref="G34:G65" si="14">X$3*(((1+X$5*(T-20))*$A34)^X$4) + X$2*$A34</f>
        <v>-1.0646429148506478</v>
      </c>
      <c r="H34" s="1">
        <f t="shared" ref="H34:H65" si="15">Y$3*(((1+Y$5*(T-20))*$A34)^Y$4) + Y$2*$A34</f>
        <v>-1.1612728304607089</v>
      </c>
      <c r="I34" s="1">
        <f t="shared" ref="I34:I65" si="16">Z$3*(((1+Z$5*(T-20))*$A34)^Z$4) + Z$2*$A34</f>
        <v>-1.2027630422761328</v>
      </c>
      <c r="J34" s="1">
        <f t="shared" ref="J34:J65" si="17">AA$3*(((1+AA$5*(T-20))*$A34)^AA$4) + AA$2*$A34</f>
        <v>-0.95316092417137721</v>
      </c>
      <c r="K34" s="1">
        <f t="shared" ref="K34:K65" si="18">AB$3*(((1+AB$5*(T-20))*$A34)^AB$4) + AB$2*$A34</f>
        <v>-1.1669823315084638</v>
      </c>
      <c r="L34" s="1">
        <f>AC$3*(((1+AC$5*(T-20))*$A34)^AC$4) + AC$2*$A34</f>
        <v>-1.1581976974376793</v>
      </c>
      <c r="M34" s="1">
        <f t="shared" ref="M34:M65" si="19">AD$3*(((1+AD$5*(T-20))*$A34)^AD$4) + AD$2*$A34</f>
        <v>-1.0378396920377784</v>
      </c>
      <c r="N34" s="1">
        <f t="shared" ref="N34:N65" si="20">AE$3*(((1+AE$5*(T-20))*$A34)^AE$4) + AE$2*$A34</f>
        <v>-0.91247445155805729</v>
      </c>
      <c r="O34" s="1">
        <f t="shared" ref="O34:O65" si="21">AF$3*(((1+AF$5*(T-20))*$A34)^AF$4) + AF$2*$A34</f>
        <v>-1.1138529497271541</v>
      </c>
      <c r="P34" s="1">
        <v>0</v>
      </c>
      <c r="Q34" s="1">
        <f t="shared" ref="Q34:Q65" si="22">AG$3*(((1+AG$5*(T-20))*$A34)^AG$4) + AG$2*$A34</f>
        <v>-7.4508388734265436</v>
      </c>
      <c r="R34" s="54">
        <f t="shared" ref="R34:R65" si="23">AH$3*(((1+AH$5*(T-20))*$A34)^AH$4) + AH$2*$A34</f>
        <v>0</v>
      </c>
      <c r="S34" s="54"/>
      <c r="T34" s="1"/>
    </row>
    <row r="35" spans="1:20" x14ac:dyDescent="0.25">
      <c r="A35" s="1">
        <f>Calculate[[#This Row],[Freq]]</f>
        <v>1530000000</v>
      </c>
      <c r="B35">
        <v>-0.96958463939034656</v>
      </c>
      <c r="C35">
        <v>-7.6502575101051482</v>
      </c>
      <c r="E35" s="1">
        <f t="shared" si="12"/>
        <v>-1.4329346729825658</v>
      </c>
      <c r="F35" s="1">
        <f t="shared" si="13"/>
        <v>-1.2767598117797363</v>
      </c>
      <c r="G35" s="1">
        <f t="shared" si="14"/>
        <v>-1.0834538001263452</v>
      </c>
      <c r="H35" s="1">
        <f t="shared" si="15"/>
        <v>-1.1834237948438</v>
      </c>
      <c r="I35" s="1">
        <f t="shared" si="16"/>
        <v>-1.220841862515498</v>
      </c>
      <c r="J35" s="1">
        <f t="shared" si="17"/>
        <v>-0.96958463939034656</v>
      </c>
      <c r="K35" s="1">
        <f t="shared" si="18"/>
        <v>-1.1919919427800272</v>
      </c>
      <c r="L35" s="1">
        <f>AC$3*(((1+AC$5*(T-20))*$A35)^AC$4) + AC$2*$A35</f>
        <v>-1.1778670347558502</v>
      </c>
      <c r="M35" s="1">
        <f t="shared" si="19"/>
        <v>-1.0552104157093363</v>
      </c>
      <c r="N35" s="1">
        <f t="shared" si="20"/>
        <v>-0.92745952686690436</v>
      </c>
      <c r="O35" s="1">
        <f t="shared" si="21"/>
        <v>-1.1315572015079689</v>
      </c>
      <c r="P35" s="1">
        <v>0</v>
      </c>
      <c r="Q35" s="1">
        <f t="shared" si="22"/>
        <v>-7.6502575101051482</v>
      </c>
      <c r="R35" s="54">
        <f t="shared" si="23"/>
        <v>0</v>
      </c>
      <c r="S35" s="54"/>
      <c r="T35" s="1"/>
    </row>
    <row r="36" spans="1:20" x14ac:dyDescent="0.25">
      <c r="A36" s="1">
        <f>Calculate[[#This Row],[Freq]]</f>
        <v>1575000000</v>
      </c>
      <c r="B36">
        <v>-0.98582912359644903</v>
      </c>
      <c r="C36">
        <v>-7.849296906804728</v>
      </c>
      <c r="E36" s="1">
        <f t="shared" si="12"/>
        <v>-1.455070389603601</v>
      </c>
      <c r="F36" s="1">
        <f t="shared" si="13"/>
        <v>-1.2974010782565839</v>
      </c>
      <c r="G36" s="1">
        <f t="shared" si="14"/>
        <v>-1.1020711982432241</v>
      </c>
      <c r="H36" s="1">
        <f t="shared" si="15"/>
        <v>-1.2053871970703178</v>
      </c>
      <c r="I36" s="1">
        <f t="shared" si="16"/>
        <v>-1.2386830559006452</v>
      </c>
      <c r="J36" s="1">
        <f t="shared" si="17"/>
        <v>-0.98582912359644903</v>
      </c>
      <c r="K36" s="1">
        <f t="shared" si="18"/>
        <v>-1.2168526235527328</v>
      </c>
      <c r="L36" s="1">
        <f>AC$3*(((1+AC$5*(T-20))*$A36)^AC$4) + AC$2*$A36</f>
        <v>-1.197314453217182</v>
      </c>
      <c r="M36" s="1">
        <f t="shared" si="19"/>
        <v>-1.0723786195357983</v>
      </c>
      <c r="N36" s="1">
        <f t="shared" si="20"/>
        <v>-0.94226241201948979</v>
      </c>
      <c r="O36" s="1">
        <f t="shared" si="21"/>
        <v>-1.1490305972222059</v>
      </c>
      <c r="P36" s="1">
        <v>0</v>
      </c>
      <c r="Q36" s="1">
        <f t="shared" si="22"/>
        <v>-7.849296906804728</v>
      </c>
      <c r="R36" s="54">
        <f t="shared" si="23"/>
        <v>0</v>
      </c>
      <c r="S36" s="54"/>
      <c r="T36" s="1"/>
    </row>
    <row r="37" spans="1:20" x14ac:dyDescent="0.25">
      <c r="A37" s="1">
        <f>Calculate[[#This Row],[Freq]]</f>
        <v>1620000000</v>
      </c>
      <c r="B37">
        <v>-1.001902005602634</v>
      </c>
      <c r="C37">
        <v>-8.0479732055467821</v>
      </c>
      <c r="E37" s="1">
        <f t="shared" si="12"/>
        <v>-1.4769544835194912</v>
      </c>
      <c r="F37" s="1">
        <f t="shared" si="13"/>
        <v>-1.3178058951232956</v>
      </c>
      <c r="G37" s="1">
        <f t="shared" si="14"/>
        <v>-1.1205033448147486</v>
      </c>
      <c r="H37" s="1">
        <f t="shared" si="15"/>
        <v>-1.2271710205611335</v>
      </c>
      <c r="I37" s="1">
        <f t="shared" si="16"/>
        <v>-1.2562970665123765</v>
      </c>
      <c r="J37" s="1">
        <f t="shared" si="17"/>
        <v>-1.001902005602634</v>
      </c>
      <c r="K37" s="1">
        <f t="shared" si="18"/>
        <v>-1.2415707129243745</v>
      </c>
      <c r="L37" s="1">
        <f>AC$3*(((1+AC$5*(T-20))*$A37)^AC$4) + AC$2*$A37</f>
        <v>-1.2165493986057587</v>
      </c>
      <c r="M37" s="1">
        <f t="shared" si="19"/>
        <v>-1.0893529235991026</v>
      </c>
      <c r="N37" s="1">
        <f t="shared" si="20"/>
        <v>-0.95689086178214044</v>
      </c>
      <c r="O37" s="1">
        <f t="shared" si="21"/>
        <v>-1.1662829630585476</v>
      </c>
      <c r="P37" s="1">
        <v>0</v>
      </c>
      <c r="Q37" s="1">
        <f t="shared" si="22"/>
        <v>-8.0479732055467821</v>
      </c>
      <c r="R37" s="54">
        <f t="shared" si="23"/>
        <v>0</v>
      </c>
      <c r="S37" s="54"/>
      <c r="T37" s="1"/>
    </row>
    <row r="38" spans="1:20" x14ac:dyDescent="0.25">
      <c r="A38" s="1">
        <f>Calculate[[#This Row],[Freq]]</f>
        <v>1665000000</v>
      </c>
      <c r="B38">
        <v>-1.0178103879151736</v>
      </c>
      <c r="C38">
        <v>-8.2463014347255985</v>
      </c>
      <c r="E38" s="1">
        <f t="shared" si="12"/>
        <v>-1.498597708929563</v>
      </c>
      <c r="F38" s="1">
        <f t="shared" si="13"/>
        <v>-1.3379840488793442</v>
      </c>
      <c r="G38" s="1">
        <f t="shared" si="14"/>
        <v>-1.1387579072849452</v>
      </c>
      <c r="H38" s="1">
        <f t="shared" si="15"/>
        <v>-1.2487826979662779</v>
      </c>
      <c r="I38" s="1">
        <f t="shared" si="16"/>
        <v>-1.2736936040024005</v>
      </c>
      <c r="J38" s="1">
        <f t="shared" si="17"/>
        <v>-1.0178103879151736</v>
      </c>
      <c r="K38" s="1">
        <f t="shared" si="18"/>
        <v>-1.2661521126626498</v>
      </c>
      <c r="L38" s="1">
        <f>AC$3*(((1+AC$5*(T-20))*$A38)^AC$4) + AC$2*$A38</f>
        <v>-1.23558066504737</v>
      </c>
      <c r="M38" s="1">
        <f t="shared" si="19"/>
        <v>-1.1061413532875284</v>
      </c>
      <c r="N38" s="1">
        <f t="shared" si="20"/>
        <v>-0.97135209592506699</v>
      </c>
      <c r="O38" s="1">
        <f t="shared" si="21"/>
        <v>-1.1833234473035237</v>
      </c>
      <c r="P38" s="1">
        <v>0</v>
      </c>
      <c r="Q38" s="1">
        <f t="shared" si="22"/>
        <v>-8.2463014347255985</v>
      </c>
      <c r="R38" s="54">
        <f t="shared" si="23"/>
        <v>0</v>
      </c>
      <c r="S38" s="54"/>
      <c r="T38" s="1"/>
    </row>
    <row r="39" spans="1:20" x14ac:dyDescent="0.25">
      <c r="A39" s="1">
        <f>Calculate[[#This Row],[Freq]]</f>
        <v>1710000000</v>
      </c>
      <c r="B39">
        <v>-1.0335608962063685</v>
      </c>
      <c r="C39">
        <v>-8.4442956137889489</v>
      </c>
      <c r="E39" s="1">
        <f t="shared" si="12"/>
        <v>-1.52001008409795</v>
      </c>
      <c r="F39" s="1">
        <f t="shared" si="13"/>
        <v>-1.357944668997622</v>
      </c>
      <c r="G39" s="1">
        <f t="shared" si="14"/>
        <v>-1.1568420383362006</v>
      </c>
      <c r="H39" s="1">
        <f t="shared" si="15"/>
        <v>-1.2702291629372757</v>
      </c>
      <c r="I39" s="1">
        <f t="shared" si="16"/>
        <v>-1.2908817135680861</v>
      </c>
      <c r="J39" s="1">
        <f t="shared" si="17"/>
        <v>-1.0335608962063685</v>
      </c>
      <c r="K39" s="1">
        <f t="shared" si="18"/>
        <v>-1.2906023283140897</v>
      </c>
      <c r="L39" s="1">
        <f>AC$3*(((1+AC$5*(T-20))*$A39)^AC$4) + AC$2*$A39</f>
        <v>-1.2544164562652407</v>
      </c>
      <c r="M39" s="1">
        <f t="shared" si="19"/>
        <v>-1.1227513951967638</v>
      </c>
      <c r="N39" s="1">
        <f t="shared" si="20"/>
        <v>-0.98565284951187582</v>
      </c>
      <c r="O39" s="1">
        <f t="shared" si="21"/>
        <v>-1.2001605840641585</v>
      </c>
      <c r="P39" s="1">
        <v>0</v>
      </c>
      <c r="Q39" s="1">
        <f t="shared" si="22"/>
        <v>-8.4442956137889489</v>
      </c>
      <c r="R39" s="54">
        <f t="shared" si="23"/>
        <v>0</v>
      </c>
      <c r="S39" s="54"/>
      <c r="T39" s="1"/>
    </row>
    <row r="40" spans="1:20" x14ac:dyDescent="0.25">
      <c r="A40" s="1">
        <f>Calculate[[#This Row],[Freq]]</f>
        <v>1755000000</v>
      </c>
      <c r="B40">
        <v>-1.0491597229640248</v>
      </c>
      <c r="C40">
        <v>-8.6419688455972583</v>
      </c>
      <c r="E40" s="1">
        <f t="shared" si="12"/>
        <v>-1.5412009596383405</v>
      </c>
      <c r="F40" s="1">
        <f t="shared" si="13"/>
        <v>-1.3776962880687844</v>
      </c>
      <c r="G40" s="1">
        <f t="shared" si="14"/>
        <v>-1.1747624230106422</v>
      </c>
      <c r="H40" s="1">
        <f t="shared" si="15"/>
        <v>-1.2915168958055649</v>
      </c>
      <c r="I40" s="1">
        <f t="shared" si="16"/>
        <v>-1.3078698376047637</v>
      </c>
      <c r="J40" s="1">
        <f t="shared" si="17"/>
        <v>-1.0491597229640248</v>
      </c>
      <c r="K40" s="1">
        <f t="shared" si="18"/>
        <v>-1.314926505474221</v>
      </c>
      <c r="L40" s="1">
        <f>AC$3*(((1+AC$5*(T-20))*$A40)^AC$4) + AC$2*$A40</f>
        <v>-1.2730644396255972</v>
      </c>
      <c r="M40" s="1">
        <f t="shared" si="19"/>
        <v>-1.1391900464510853</v>
      </c>
      <c r="N40" s="1">
        <f t="shared" si="20"/>
        <v>-0.99979941726970667</v>
      </c>
      <c r="O40" s="1">
        <f t="shared" si="21"/>
        <v>-1.216802349490083</v>
      </c>
      <c r="P40" s="1">
        <v>0</v>
      </c>
      <c r="Q40" s="1">
        <f t="shared" si="22"/>
        <v>-8.6419688455972583</v>
      </c>
      <c r="R40" s="54">
        <f t="shared" si="23"/>
        <v>0</v>
      </c>
      <c r="S40" s="54"/>
      <c r="T40" s="1"/>
    </row>
    <row r="41" spans="1:20" x14ac:dyDescent="0.25">
      <c r="A41" s="1">
        <f>Calculate[[#This Row],[Freq]]</f>
        <v>1800000000</v>
      </c>
      <c r="B41">
        <v>-1.0646126661341559</v>
      </c>
      <c r="C41">
        <v>-8.8393333981887974</v>
      </c>
      <c r="E41" s="1">
        <f t="shared" si="12"/>
        <v>-1.5621790788843561</v>
      </c>
      <c r="F41" s="1">
        <f t="shared" si="13"/>
        <v>-1.3972468950467909</v>
      </c>
      <c r="G41" s="1">
        <f t="shared" si="14"/>
        <v>-1.1925253204265061</v>
      </c>
      <c r="H41" s="1">
        <f t="shared" si="15"/>
        <v>-1.3126519640214194</v>
      </c>
      <c r="I41" s="1">
        <f t="shared" si="16"/>
        <v>-1.3246658702123715</v>
      </c>
      <c r="J41" s="1">
        <f t="shared" si="17"/>
        <v>-1.0646126661341559</v>
      </c>
      <c r="K41" s="1">
        <f t="shared" si="18"/>
        <v>-1.3391294618973948</v>
      </c>
      <c r="L41" s="1">
        <f>AC$3*(((1+AC$5*(T-20))*$A41)^AC$4) + AC$2*$A41</f>
        <v>-1.2915317939839894</v>
      </c>
      <c r="M41" s="1">
        <f t="shared" si="19"/>
        <v>-1.155463858367197</v>
      </c>
      <c r="N41" s="1">
        <f t="shared" si="20"/>
        <v>-1.0137976928699353</v>
      </c>
      <c r="O41" s="1">
        <f t="shared" si="21"/>
        <v>-1.2332562115467434</v>
      </c>
      <c r="P41" s="1">
        <v>0</v>
      </c>
      <c r="Q41" s="1">
        <f t="shared" si="22"/>
        <v>-8.8393333981887974</v>
      </c>
      <c r="R41" s="54">
        <f t="shared" si="23"/>
        <v>0</v>
      </c>
      <c r="S41" s="54"/>
      <c r="T41" s="1"/>
    </row>
    <row r="42" spans="1:20" x14ac:dyDescent="0.25">
      <c r="A42" s="1">
        <f>Calculate[[#This Row],[Freq]]</f>
        <v>1845000000</v>
      </c>
      <c r="B42">
        <v>-1.0799251634414366</v>
      </c>
      <c r="C42">
        <v>-9.0364007773992938</v>
      </c>
      <c r="E42" s="1">
        <f t="shared" si="12"/>
        <v>-1.5829526314366307</v>
      </c>
      <c r="F42" s="1">
        <f t="shared" si="13"/>
        <v>-1.4166039825388461</v>
      </c>
      <c r="G42" s="1">
        <f t="shared" si="14"/>
        <v>-1.2101366008284609</v>
      </c>
      <c r="H42" s="1">
        <f t="shared" si="15"/>
        <v>-1.3336400580697079</v>
      </c>
      <c r="I42" s="1">
        <f t="shared" si="16"/>
        <v>-1.3412772055415445</v>
      </c>
      <c r="J42" s="1">
        <f t="shared" si="17"/>
        <v>-1.0799251634414366</v>
      </c>
      <c r="K42" s="1">
        <f t="shared" si="18"/>
        <v>-1.3632157160150791</v>
      </c>
      <c r="L42" s="1">
        <f>AC$3*(((1+AC$5*(T-20))*$A42)^AC$4) + AC$2*$A42</f>
        <v>-1.3098252521799205</v>
      </c>
      <c r="M42" s="1">
        <f t="shared" si="19"/>
        <v>-1.1715789752341992</v>
      </c>
      <c r="N42" s="1">
        <f t="shared" si="20"/>
        <v>-1.0276532038152655</v>
      </c>
      <c r="O42" s="1">
        <f t="shared" si="21"/>
        <v>-1.249529174221393</v>
      </c>
      <c r="P42" s="1">
        <v>0</v>
      </c>
      <c r="Q42" s="1">
        <f t="shared" si="22"/>
        <v>-9.0364007773992938</v>
      </c>
      <c r="R42" s="54">
        <f t="shared" si="23"/>
        <v>0</v>
      </c>
      <c r="S42" s="54"/>
      <c r="T42" s="1"/>
    </row>
    <row r="43" spans="1:20" x14ac:dyDescent="0.25">
      <c r="A43" s="1">
        <f>Calculate[[#This Row],[Freq]]</f>
        <v>1890000000</v>
      </c>
      <c r="B43">
        <v>-1.0951023229640047</v>
      </c>
      <c r="C43">
        <v>-9.2331817915560261</v>
      </c>
      <c r="E43" s="1">
        <f t="shared" si="12"/>
        <v>-1.6035293008046423</v>
      </c>
      <c r="F43" s="1">
        <f t="shared" si="13"/>
        <v>-1.435774588934229</v>
      </c>
      <c r="G43" s="1">
        <f t="shared" si="14"/>
        <v>-1.2276017785943485</v>
      </c>
      <c r="H43" s="1">
        <f t="shared" si="15"/>
        <v>-1.3544865234658978</v>
      </c>
      <c r="I43" s="1">
        <f t="shared" si="16"/>
        <v>-1.3577107808080318</v>
      </c>
      <c r="J43" s="1">
        <f t="shared" si="17"/>
        <v>-1.0951023229640047</v>
      </c>
      <c r="K43" s="1">
        <f t="shared" si="18"/>
        <v>-1.3871895123417302</v>
      </c>
      <c r="L43" s="1">
        <f>AC$3*(((1+AC$5*(T-20))*$A43)^AC$4) + AC$2*$A43</f>
        <v>-1.3279511388937169</v>
      </c>
      <c r="M43" s="1">
        <f t="shared" si="19"/>
        <v>-1.1875411688612036</v>
      </c>
      <c r="N43" s="1">
        <f t="shared" si="20"/>
        <v>-1.0413711425193273</v>
      </c>
      <c r="O43" s="1">
        <f t="shared" si="21"/>
        <v>-1.2656278169045503</v>
      </c>
      <c r="P43" s="1">
        <v>0</v>
      </c>
      <c r="Q43" s="1">
        <f t="shared" si="22"/>
        <v>-9.2331817915560261</v>
      </c>
      <c r="R43" s="54">
        <f t="shared" si="23"/>
        <v>0</v>
      </c>
      <c r="S43" s="54"/>
      <c r="T43" s="1"/>
    </row>
    <row r="44" spans="1:20" x14ac:dyDescent="0.25">
      <c r="A44" s="1">
        <f>Calculate[[#This Row],[Freq]]</f>
        <v>1935000000</v>
      </c>
      <c r="B44">
        <v>-1.1101489504504474</v>
      </c>
      <c r="C44">
        <v>-9.4296866092786154</v>
      </c>
      <c r="E44" s="1">
        <f t="shared" si="12"/>
        <v>-1.6239163069188622</v>
      </c>
      <c r="F44" s="1">
        <f t="shared" si="13"/>
        <v>-1.4547653360442012</v>
      </c>
      <c r="G44" s="1">
        <f t="shared" si="14"/>
        <v>-1.2449260417249806</v>
      </c>
      <c r="H44" s="1">
        <f t="shared" si="15"/>
        <v>-1.3751963893428085</v>
      </c>
      <c r="I44" s="1">
        <f t="shared" si="16"/>
        <v>-1.3739731146756686</v>
      </c>
      <c r="J44" s="1">
        <f t="shared" si="17"/>
        <v>-1.1101489504504474</v>
      </c>
      <c r="K44" s="1">
        <f t="shared" si="18"/>
        <v>-1.411054844173615</v>
      </c>
      <c r="L44" s="1">
        <f>AC$3*(((1+AC$5*(T-20))*$A44)^AC$4) + AC$2*$A44</f>
        <v>-1.3459154044696615</v>
      </c>
      <c r="M44" s="1">
        <f t="shared" si="19"/>
        <v>-1.2033558694438224</v>
      </c>
      <c r="N44" s="1">
        <f t="shared" si="20"/>
        <v>-1.0549563940746727</v>
      </c>
      <c r="O44" s="1">
        <f t="shared" si="21"/>
        <v>-1.281558329575271</v>
      </c>
      <c r="P44" s="1">
        <v>0</v>
      </c>
      <c r="Q44" s="1">
        <f t="shared" si="22"/>
        <v>-9.4296866092786154</v>
      </c>
      <c r="R44" s="54">
        <f t="shared" si="23"/>
        <v>0</v>
      </c>
      <c r="S44" s="54"/>
      <c r="T44" s="1"/>
    </row>
    <row r="45" spans="1:20" x14ac:dyDescent="0.25">
      <c r="A45" s="1">
        <f>Calculate[[#This Row],[Freq]]</f>
        <v>1980000000</v>
      </c>
      <c r="B45">
        <v>-1.1250695737934544</v>
      </c>
      <c r="C45">
        <v>-9.6259248112635056</v>
      </c>
      <c r="E45" s="1">
        <f t="shared" si="12"/>
        <v>-1.644120444171425</v>
      </c>
      <c r="F45" s="1">
        <f t="shared" si="13"/>
        <v>-1.4735824628241008</v>
      </c>
      <c r="G45" s="1">
        <f t="shared" si="14"/>
        <v>-1.2621142782644392</v>
      </c>
      <c r="H45" s="1">
        <f t="shared" si="15"/>
        <v>-1.3957743940618645</v>
      </c>
      <c r="I45" s="1">
        <f t="shared" si="16"/>
        <v>-1.390070341602186</v>
      </c>
      <c r="J45" s="1">
        <f t="shared" si="17"/>
        <v>-1.1250695737934544</v>
      </c>
      <c r="K45" s="1">
        <f t="shared" si="18"/>
        <v>-1.4348154739249843</v>
      </c>
      <c r="L45" s="1">
        <f>AC$3*(((1+AC$5*(T-20))*$A45)^AC$4) + AC$2*$A45</f>
        <v>-1.3637236552185901</v>
      </c>
      <c r="M45" s="1">
        <f t="shared" si="19"/>
        <v>-1.2190281932178635</v>
      </c>
      <c r="N45" s="1">
        <f t="shared" si="20"/>
        <v>-1.0684135611304943</v>
      </c>
      <c r="O45" s="1">
        <f t="shared" si="21"/>
        <v>-1.2973265443241042</v>
      </c>
      <c r="P45" s="1">
        <v>0</v>
      </c>
      <c r="Q45" s="1">
        <f t="shared" si="22"/>
        <v>-9.6259248112635056</v>
      </c>
      <c r="R45" s="54">
        <f t="shared" si="23"/>
        <v>0</v>
      </c>
      <c r="S45" s="54"/>
      <c r="T45" s="1"/>
    </row>
    <row r="46" spans="1:20" x14ac:dyDescent="0.25">
      <c r="A46" s="1">
        <f>Calculate[[#This Row],[Freq]]</f>
        <v>2025000000</v>
      </c>
      <c r="B46">
        <v>-1.1398684650137008</v>
      </c>
      <c r="C46">
        <v>-9.8219054368003054</v>
      </c>
      <c r="E46" s="1">
        <f t="shared" si="12"/>
        <v>-1.6641481155460642</v>
      </c>
      <c r="F46" s="1">
        <f t="shared" si="13"/>
        <v>-1.4922318556647989</v>
      </c>
      <c r="G46" s="1">
        <f t="shared" si="14"/>
        <v>-1.2791711000325749</v>
      </c>
      <c r="H46" s="1">
        <f t="shared" si="15"/>
        <v>-1.4162250082188521</v>
      </c>
      <c r="I46" s="1">
        <f t="shared" si="16"/>
        <v>-1.4060082426541294</v>
      </c>
      <c r="J46" s="1">
        <f t="shared" si="17"/>
        <v>-1.1398684650137008</v>
      </c>
      <c r="K46" s="1">
        <f t="shared" si="18"/>
        <v>-1.4584749513953965</v>
      </c>
      <c r="L46" s="1">
        <f>AC$3*(((1+AC$5*(T-20))*$A46)^AC$4) + AC$2*$A46</f>
        <v>-1.3813811806377247</v>
      </c>
      <c r="M46" s="1">
        <f t="shared" si="19"/>
        <v>-1.2345629672997485</v>
      </c>
      <c r="N46" s="1">
        <f t="shared" si="20"/>
        <v>-1.0817469862394673</v>
      </c>
      <c r="O46" s="1">
        <f t="shared" si="21"/>
        <v>-1.3129379636691334</v>
      </c>
      <c r="P46" s="1">
        <v>0</v>
      </c>
      <c r="Q46" s="1">
        <f t="shared" si="22"/>
        <v>-9.8219054368003054</v>
      </c>
      <c r="R46" s="54">
        <f t="shared" si="23"/>
        <v>0</v>
      </c>
      <c r="S46" s="54"/>
      <c r="T46" s="1"/>
    </row>
    <row r="47" spans="1:20" x14ac:dyDescent="0.25">
      <c r="A47" s="1">
        <f>Calculate[[#This Row],[Freq]]</f>
        <v>2070000000</v>
      </c>
      <c r="B47">
        <v>-1.1545496600567169</v>
      </c>
      <c r="C47">
        <v>-10.017637025660527</v>
      </c>
      <c r="E47" s="1">
        <f t="shared" si="12"/>
        <v>-1.6840053633169176</v>
      </c>
      <c r="F47" s="1">
        <f t="shared" si="13"/>
        <v>-1.510719075670685</v>
      </c>
      <c r="G47" s="1">
        <f t="shared" si="14"/>
        <v>-1.2961008639965295</v>
      </c>
      <c r="H47" s="1">
        <f t="shared" si="15"/>
        <v>-1.4365524553609983</v>
      </c>
      <c r="I47" s="1">
        <f t="shared" si="16"/>
        <v>-1.4217922732239106</v>
      </c>
      <c r="J47" s="1">
        <f t="shared" si="17"/>
        <v>-1.1545496600567169</v>
      </c>
      <c r="K47" s="1">
        <f t="shared" si="18"/>
        <v>-1.4820366302197583</v>
      </c>
      <c r="L47" s="1">
        <f>AC$3*(((1+AC$5*(T-20))*$A47)^AC$4) + AC$2*$A47</f>
        <v>-1.3988929779226067</v>
      </c>
      <c r="M47" s="1">
        <f t="shared" si="19"/>
        <v>-1.249964752055736</v>
      </c>
      <c r="N47" s="1">
        <f t="shared" si="20"/>
        <v>-1.0949607719814689</v>
      </c>
      <c r="O47" s="1">
        <f t="shared" si="21"/>
        <v>-1.3283977860550649</v>
      </c>
      <c r="P47" s="1">
        <v>0</v>
      </c>
      <c r="Q47" s="1">
        <f t="shared" si="22"/>
        <v>-10.017637025660527</v>
      </c>
      <c r="R47" s="54">
        <f t="shared" si="23"/>
        <v>0</v>
      </c>
      <c r="S47" s="54"/>
      <c r="T47" s="1"/>
    </row>
    <row r="48" spans="1:20" x14ac:dyDescent="0.25">
      <c r="A48" s="1">
        <f>Calculate[[#This Row],[Freq]]</f>
        <v>2115000000</v>
      </c>
      <c r="B48">
        <v>-1.169116976662921</v>
      </c>
      <c r="C48">
        <v>-10.213127655909306</v>
      </c>
      <c r="E48" s="1">
        <f t="shared" si="12"/>
        <v>-1.7036978967278562</v>
      </c>
      <c r="F48" s="1">
        <f t="shared" si="13"/>
        <v>-1.5290493832826741</v>
      </c>
      <c r="G48" s="1">
        <f t="shared" si="14"/>
        <v>-1.3129076915621618</v>
      </c>
      <c r="H48" s="1">
        <f t="shared" si="15"/>
        <v>-1.4567607306876533</v>
      </c>
      <c r="I48" s="1">
        <f t="shared" si="16"/>
        <v>-1.4374275880206642</v>
      </c>
      <c r="J48" s="1">
        <f t="shared" si="17"/>
        <v>-1.169116976662921</v>
      </c>
      <c r="K48" s="1">
        <f t="shared" si="18"/>
        <v>-1.5055036827172792</v>
      </c>
      <c r="L48" s="1">
        <f>AC$3*(((1+AC$5*(T-20))*$A48)^AC$4) + AC$2*$A48</f>
        <v>-1.4162637740932744</v>
      </c>
      <c r="M48" s="1">
        <f t="shared" si="19"/>
        <v>-1.2652378612939434</v>
      </c>
      <c r="N48" s="1">
        <f t="shared" si="20"/>
        <v>-1.1080587991286506</v>
      </c>
      <c r="O48" s="1">
        <f t="shared" si="21"/>
        <v>-1.3437109288704805</v>
      </c>
      <c r="P48" s="1">
        <v>0</v>
      </c>
      <c r="Q48" s="1">
        <f t="shared" si="22"/>
        <v>-10.213127655909306</v>
      </c>
      <c r="R48" s="54">
        <f t="shared" si="23"/>
        <v>0</v>
      </c>
      <c r="S48" s="54"/>
      <c r="T48" s="1"/>
    </row>
    <row r="49" spans="1:20" x14ac:dyDescent="0.25">
      <c r="A49" s="1">
        <f>Calculate[[#This Row],[Freq]]</f>
        <v>2160000000</v>
      </c>
      <c r="B49">
        <v>-1.1835740305351954</v>
      </c>
      <c r="C49">
        <v>-10.40838497811483</v>
      </c>
      <c r="E49" s="1">
        <f t="shared" si="12"/>
        <v>-1.7232311170069863</v>
      </c>
      <c r="F49" s="1">
        <f t="shared" si="13"/>
        <v>-1.5472277605554088</v>
      </c>
      <c r="G49" s="1">
        <f t="shared" si="14"/>
        <v>-1.3295954860276047</v>
      </c>
      <c r="H49" s="1">
        <f t="shared" si="15"/>
        <v>-1.4768536179693781</v>
      </c>
      <c r="I49" s="1">
        <f t="shared" si="16"/>
        <v>-1.4529190636551099</v>
      </c>
      <c r="J49" s="1">
        <f t="shared" si="17"/>
        <v>-1.1835740305351954</v>
      </c>
      <c r="K49" s="1">
        <f t="shared" si="18"/>
        <v>-1.5288791133257815</v>
      </c>
      <c r="L49" s="1">
        <f>AC$3*(((1+AC$5*(T-20))*$A49)^AC$4) + AC$2*$A49</f>
        <v>-1.4334980460125066</v>
      </c>
      <c r="M49" s="1">
        <f t="shared" si="19"/>
        <v>-1.280386380532696</v>
      </c>
      <c r="N49" s="1">
        <f t="shared" si="20"/>
        <v>-1.1210447430799433</v>
      </c>
      <c r="O49" s="1">
        <f t="shared" si="21"/>
        <v>-1.3588820492722631</v>
      </c>
      <c r="P49" s="1">
        <v>0</v>
      </c>
      <c r="Q49" s="1">
        <f t="shared" si="22"/>
        <v>-10.40838497811483</v>
      </c>
      <c r="R49" s="54">
        <f t="shared" si="23"/>
        <v>0</v>
      </c>
      <c r="S49" s="54"/>
      <c r="T49" s="1"/>
    </row>
    <row r="50" spans="1:20" x14ac:dyDescent="0.25">
      <c r="A50" s="1">
        <f>Calculate[[#This Row],[Freq]]</f>
        <v>2205000000</v>
      </c>
      <c r="B50">
        <v>-1.1979242499981368</v>
      </c>
      <c r="C50">
        <v>-10.60341624636626</v>
      </c>
      <c r="E50" s="1">
        <f t="shared" si="12"/>
        <v>-1.7426101400227534</v>
      </c>
      <c r="F50" s="1">
        <f t="shared" si="13"/>
        <v>-1.5652589313561518</v>
      </c>
      <c r="G50" s="1">
        <f t="shared" si="14"/>
        <v>-1.3461679484085203</v>
      </c>
      <c r="H50" s="1">
        <f t="shared" si="15"/>
        <v>-1.4968347048885973</v>
      </c>
      <c r="I50" s="1">
        <f t="shared" si="16"/>
        <v>-1.4682713190950825</v>
      </c>
      <c r="J50" s="1">
        <f t="shared" si="17"/>
        <v>-1.1979242499981368</v>
      </c>
      <c r="K50" s="1">
        <f t="shared" si="18"/>
        <v>-1.5521657707826808</v>
      </c>
      <c r="L50" s="1">
        <f>AC$3*(((1+AC$5*(T-20))*$A50)^AC$4) + AC$2*$A50</f>
        <v>-1.4506000385364985</v>
      </c>
      <c r="M50" s="1">
        <f t="shared" si="19"/>
        <v>-1.2954141835645663</v>
      </c>
      <c r="N50" s="1">
        <f t="shared" si="20"/>
        <v>-1.133922088762336</v>
      </c>
      <c r="O50" s="1">
        <f t="shared" si="21"/>
        <v>-1.3739155630672468</v>
      </c>
      <c r="P50" s="1">
        <v>0</v>
      </c>
      <c r="Q50" s="1">
        <f t="shared" si="22"/>
        <v>-10.60341624636626</v>
      </c>
      <c r="R50" s="54">
        <f t="shared" si="23"/>
        <v>0</v>
      </c>
      <c r="S50" s="54"/>
      <c r="T50" s="1"/>
    </row>
    <row r="51" spans="1:20" x14ac:dyDescent="0.25">
      <c r="A51" s="1">
        <f>Calculate[[#This Row],[Freq]]</f>
        <v>2250000000</v>
      </c>
      <c r="B51">
        <v>-1.2121708893174843</v>
      </c>
      <c r="C51">
        <v>-10.798228346456694</v>
      </c>
      <c r="E51" s="1">
        <f t="shared" si="12"/>
        <v>-1.7618398168474148</v>
      </c>
      <c r="F51" s="1">
        <f t="shared" si="13"/>
        <v>-1.5831473797175415</v>
      </c>
      <c r="G51" s="1">
        <f t="shared" si="14"/>
        <v>-1.3626285918169629</v>
      </c>
      <c r="H51" s="1">
        <f t="shared" si="15"/>
        <v>-1.5167073969781497</v>
      </c>
      <c r="I51" s="1">
        <f t="shared" si="16"/>
        <v>-1.4834887342316938</v>
      </c>
      <c r="J51" s="1">
        <f t="shared" si="17"/>
        <v>-1.2121708893174843</v>
      </c>
      <c r="K51" s="1">
        <f t="shared" si="18"/>
        <v>-1.575366359192653</v>
      </c>
      <c r="L51" s="1">
        <f>AC$3*(((1+AC$5*(T-20))*$A51)^AC$4) + AC$2*$A51</f>
        <v>-1.4675737810066081</v>
      </c>
      <c r="M51" s="1">
        <f t="shared" si="19"/>
        <v>-1.3103249475064924</v>
      </c>
      <c r="N51" s="1">
        <f t="shared" si="20"/>
        <v>-1.1466941441702105</v>
      </c>
      <c r="O51" s="1">
        <f t="shared" si="21"/>
        <v>-1.3888156618681222</v>
      </c>
      <c r="P51" s="1">
        <v>0</v>
      </c>
      <c r="Q51" s="1">
        <f t="shared" si="22"/>
        <v>-10.798228346456694</v>
      </c>
      <c r="R51" s="54">
        <f t="shared" si="23"/>
        <v>0</v>
      </c>
      <c r="S51" s="54"/>
      <c r="T51" s="1"/>
    </row>
    <row r="52" spans="1:20" x14ac:dyDescent="0.25">
      <c r="A52" s="1">
        <f>Calculate[[#This Row],[Freq]]</f>
        <v>2295000000</v>
      </c>
      <c r="B52">
        <v>-1.2263170408264235</v>
      </c>
      <c r="C52">
        <v>-10.992827821541544</v>
      </c>
      <c r="E52" s="1">
        <f t="shared" si="12"/>
        <v>-1.7809247524589589</v>
      </c>
      <c r="F52" s="1">
        <f t="shared" si="13"/>
        <v>-1.6008973665463531</v>
      </c>
      <c r="G52" s="1">
        <f t="shared" si="14"/>
        <v>-1.3789807545522192</v>
      </c>
      <c r="H52" s="1">
        <f t="shared" si="15"/>
        <v>-1.536474930311257</v>
      </c>
      <c r="I52" s="1">
        <f t="shared" si="16"/>
        <v>-1.4985754667647431</v>
      </c>
      <c r="J52" s="1">
        <f t="shared" si="17"/>
        <v>-1.2263170408264235</v>
      </c>
      <c r="K52" s="1">
        <f t="shared" si="18"/>
        <v>-1.5984834481038843</v>
      </c>
      <c r="L52" s="1">
        <f>AC$3*(((1+AC$5*(T-20))*$A52)^AC$4) + AC$2*$A52</f>
        <v>-1.4844231022638068</v>
      </c>
      <c r="M52" s="1">
        <f t="shared" si="19"/>
        <v>-1.325122166501747</v>
      </c>
      <c r="N52" s="1">
        <f t="shared" si="20"/>
        <v>-1.1593640526918523</v>
      </c>
      <c r="O52" s="1">
        <f t="shared" si="21"/>
        <v>-1.403586328712559</v>
      </c>
      <c r="P52" s="1">
        <v>0</v>
      </c>
      <c r="Q52" s="1">
        <f t="shared" si="22"/>
        <v>-10.992827821541544</v>
      </c>
      <c r="R52" s="54">
        <f t="shared" si="23"/>
        <v>0</v>
      </c>
      <c r="S52" s="54"/>
      <c r="T52" s="1"/>
    </row>
    <row r="53" spans="1:20" x14ac:dyDescent="0.25">
      <c r="A53" s="1">
        <f>Calculate[[#This Row],[Freq]]</f>
        <v>2340000000</v>
      </c>
      <c r="B53">
        <v>-1.2403656459868495</v>
      </c>
      <c r="C53">
        <v>-11.18722089554339</v>
      </c>
      <c r="E53" s="1">
        <f t="shared" si="12"/>
        <v>-1.7998693227830083</v>
      </c>
      <c r="F53" s="1">
        <f t="shared" si="13"/>
        <v>-1.618512944864742</v>
      </c>
      <c r="G53" s="1">
        <f t="shared" si="14"/>
        <v>-1.3952276120418869</v>
      </c>
      <c r="H53" s="1">
        <f t="shared" si="15"/>
        <v>-1.5561403830769427</v>
      </c>
      <c r="I53" s="1">
        <f t="shared" si="16"/>
        <v>-1.5135354675893564</v>
      </c>
      <c r="J53" s="1">
        <f t="shared" si="17"/>
        <v>-1.2403656459868495</v>
      </c>
      <c r="K53" s="1">
        <f t="shared" si="18"/>
        <v>-1.6215194816993337</v>
      </c>
      <c r="L53" s="1">
        <f>AC$3*(((1+AC$5*(T-20))*$A53)^AC$4) + AC$2*$A53</f>
        <v>-1.5011516443444299</v>
      </c>
      <c r="M53" s="1">
        <f t="shared" si="19"/>
        <v>-1.3398091642184704</v>
      </c>
      <c r="N53" s="1">
        <f t="shared" si="20"/>
        <v>-1.1719348043533386</v>
      </c>
      <c r="O53" s="1">
        <f t="shared" si="21"/>
        <v>-1.4182313523105141</v>
      </c>
      <c r="P53" s="1">
        <v>0</v>
      </c>
      <c r="Q53" s="1">
        <f t="shared" si="22"/>
        <v>-11.18722089554339</v>
      </c>
      <c r="R53" s="54">
        <f t="shared" si="23"/>
        <v>0</v>
      </c>
      <c r="S53" s="54"/>
      <c r="T53" s="1"/>
    </row>
    <row r="54" spans="1:20" x14ac:dyDescent="0.25">
      <c r="A54" s="1">
        <f>Calculate[[#This Row],[Freq]]</f>
        <v>2385000000</v>
      </c>
      <c r="B54">
        <v>-1.2543195054977334</v>
      </c>
      <c r="C54">
        <v>-11.381413494540544</v>
      </c>
      <c r="E54" s="1">
        <f t="shared" si="12"/>
        <v>-1.8186776902510424</v>
      </c>
      <c r="F54" s="1">
        <f t="shared" si="13"/>
        <v>-1.6359979737385015</v>
      </c>
      <c r="G54" s="1">
        <f t="shared" si="14"/>
        <v>-1.4113721877542711</v>
      </c>
      <c r="H54" s="1">
        <f t="shared" si="15"/>
        <v>-1.5757066861582634</v>
      </c>
      <c r="I54" s="1">
        <f t="shared" si="16"/>
        <v>-1.5283724948430477</v>
      </c>
      <c r="J54" s="1">
        <f t="shared" si="17"/>
        <v>-1.2543195054977334</v>
      </c>
      <c r="K54" s="1">
        <f t="shared" si="18"/>
        <v>-1.6444767871961954</v>
      </c>
      <c r="L54" s="1">
        <f>AC$3*(((1+AC$5*(T-20))*$A54)^AC$4) + AC$2*$A54</f>
        <v>-1.5177628749960728</v>
      </c>
      <c r="M54" s="1">
        <f t="shared" si="19"/>
        <v>-1.3543891052714954</v>
      </c>
      <c r="N54" s="1">
        <f t="shared" si="20"/>
        <v>-1.1844092460937952</v>
      </c>
      <c r="O54" s="1">
        <f t="shared" si="21"/>
        <v>-1.4327543400641758</v>
      </c>
      <c r="P54" s="1">
        <v>0</v>
      </c>
      <c r="Q54" s="1">
        <f t="shared" si="22"/>
        <v>-11.381413494540544</v>
      </c>
      <c r="R54" s="54">
        <f t="shared" si="23"/>
        <v>0</v>
      </c>
      <c r="S54" s="54"/>
      <c r="T54" s="1"/>
    </row>
    <row r="55" spans="1:20" x14ac:dyDescent="0.25">
      <c r="A55" s="1">
        <f>Calculate[[#This Row],[Freq]]</f>
        <v>2430000000</v>
      </c>
      <c r="B55">
        <v>-1.268181288549044</v>
      </c>
      <c r="C55">
        <v>-11.575411266347704</v>
      </c>
      <c r="E55" s="1">
        <f t="shared" si="12"/>
        <v>-1.8373538180294962</v>
      </c>
      <c r="F55" s="1">
        <f t="shared" si="13"/>
        <v>-1.6533561310279852</v>
      </c>
      <c r="G55" s="1">
        <f t="shared" si="14"/>
        <v>-1.4274173631883671</v>
      </c>
      <c r="H55" s="1">
        <f t="shared" si="15"/>
        <v>-1.5951766328163797</v>
      </c>
      <c r="I55" s="1">
        <f t="shared" si="16"/>
        <v>-1.5430901267527566</v>
      </c>
      <c r="J55" s="1">
        <f t="shared" si="17"/>
        <v>-1.268181288549044</v>
      </c>
      <c r="K55" s="1">
        <f t="shared" si="18"/>
        <v>-1.6673575825353673</v>
      </c>
      <c r="L55" s="1">
        <f>AC$3*(((1+AC$5*(T-20))*$A55)^AC$4) + AC$2*$A55</f>
        <v>-1.5342600991355422</v>
      </c>
      <c r="M55" s="1">
        <f t="shared" si="19"/>
        <v>-1.3688650056787</v>
      </c>
      <c r="N55" s="1">
        <f t="shared" si="20"/>
        <v>-1.1967900911721046</v>
      </c>
      <c r="O55" s="1">
        <f t="shared" si="21"/>
        <v>-1.4471587299873538</v>
      </c>
      <c r="P55" s="1">
        <v>0</v>
      </c>
      <c r="Q55" s="1">
        <f t="shared" si="22"/>
        <v>-11.575411266347704</v>
      </c>
      <c r="R55" s="54">
        <f t="shared" si="23"/>
        <v>0</v>
      </c>
      <c r="S55" s="54"/>
      <c r="T55" s="1"/>
    </row>
    <row r="56" spans="1:20" x14ac:dyDescent="0.25">
      <c r="A56" s="1">
        <f>Calculate[[#This Row],[Freq]]</f>
        <v>2475000000</v>
      </c>
      <c r="B56">
        <v>-1.2819535413078789</v>
      </c>
      <c r="C56">
        <v>-11.769219598471977</v>
      </c>
      <c r="E56" s="1">
        <f t="shared" si="12"/>
        <v>-1.8559014830557505</v>
      </c>
      <c r="F56" s="1">
        <f t="shared" si="13"/>
        <v>-1.670590925081092</v>
      </c>
      <c r="G56" s="1">
        <f t="shared" si="14"/>
        <v>-1.4433658870349826</v>
      </c>
      <c r="H56" s="1">
        <f t="shared" si="15"/>
        <v>-1.6145528875711426</v>
      </c>
      <c r="I56" s="1">
        <f t="shared" si="16"/>
        <v>-1.5576917734046627</v>
      </c>
      <c r="J56" s="1">
        <f t="shared" si="17"/>
        <v>-1.2819535413078789</v>
      </c>
      <c r="K56" s="1">
        <f t="shared" si="18"/>
        <v>-1.6901639834329301</v>
      </c>
      <c r="L56" s="1">
        <f>AC$3*(((1+AC$5*(T-20))*$A56)^AC$4) + AC$2*$A56</f>
        <v>-1.550646469356145</v>
      </c>
      <c r="M56" s="1">
        <f t="shared" si="19"/>
        <v>-1.383239742449804</v>
      </c>
      <c r="N56" s="1">
        <f t="shared" si="20"/>
        <v>-1.2090799277931414</v>
      </c>
      <c r="O56" s="1">
        <f t="shared" si="21"/>
        <v>-1.4614478016359211</v>
      </c>
      <c r="P56" s="1">
        <v>0</v>
      </c>
      <c r="Q56" s="1">
        <f t="shared" si="22"/>
        <v>-11.769219598471977</v>
      </c>
      <c r="R56" s="54">
        <f t="shared" si="23"/>
        <v>0</v>
      </c>
      <c r="S56" s="54"/>
      <c r="T56" s="1"/>
    </row>
    <row r="57" spans="1:20" x14ac:dyDescent="0.25">
      <c r="A57" s="1">
        <f>Calculate[[#This Row],[Freq]]</f>
        <v>2520000000</v>
      </c>
      <c r="B57">
        <v>-1.2956386947132508</v>
      </c>
      <c r="C57">
        <v>-11.962843634606109</v>
      </c>
      <c r="E57" s="1">
        <f t="shared" si="12"/>
        <v>-1.8743242880007871</v>
      </c>
      <c r="F57" s="1">
        <f t="shared" si="13"/>
        <v>-1.6877057054736553</v>
      </c>
      <c r="G57" s="1">
        <f t="shared" si="14"/>
        <v>-1.4592203835915272</v>
      </c>
      <c r="H57" s="1">
        <f t="shared" si="15"/>
        <v>-1.6338379943582053</v>
      </c>
      <c r="I57" s="1">
        <f t="shared" si="16"/>
        <v>-1.5721806875449156</v>
      </c>
      <c r="J57" s="1">
        <f t="shared" si="17"/>
        <v>-1.2956386947132508</v>
      </c>
      <c r="K57" s="1">
        <f t="shared" si="18"/>
        <v>-1.7128980098571582</v>
      </c>
      <c r="L57" s="1">
        <f>AC$3*(((1+AC$5*(T-20))*$A57)^AC$4) + AC$2*$A57</f>
        <v>-1.5669249955789777</v>
      </c>
      <c r="M57" s="1">
        <f t="shared" si="19"/>
        <v>-1.397516062393992</v>
      </c>
      <c r="N57" s="1">
        <f t="shared" si="20"/>
        <v>-1.2212812270312567</v>
      </c>
      <c r="O57" s="1">
        <f t="shared" si="21"/>
        <v>-1.4756246861477853</v>
      </c>
      <c r="P57" s="1">
        <v>0</v>
      </c>
      <c r="Q57" s="1">
        <f t="shared" si="22"/>
        <v>-11.962843634606109</v>
      </c>
      <c r="R57" s="54">
        <f t="shared" si="23"/>
        <v>0</v>
      </c>
      <c r="S57" s="54"/>
      <c r="T57" s="1"/>
    </row>
    <row r="58" spans="1:20" x14ac:dyDescent="0.25">
      <c r="A58" s="1">
        <f>Calculate[[#This Row],[Freq]]</f>
        <v>2565000000</v>
      </c>
      <c r="B58">
        <v>-1.3092390716471523</v>
      </c>
      <c r="C58">
        <v>-12.156288289801934</v>
      </c>
      <c r="E58" s="1">
        <f t="shared" si="12"/>
        <v>-1.8926256722644181</v>
      </c>
      <c r="F58" s="1">
        <f t="shared" si="13"/>
        <v>-1.7047036728904086</v>
      </c>
      <c r="G58" s="1">
        <f t="shared" si="14"/>
        <v>-1.4749833605034688</v>
      </c>
      <c r="H58" s="1">
        <f t="shared" si="15"/>
        <v>-1.6530343840334167</v>
      </c>
      <c r="I58" s="1">
        <f t="shared" si="16"/>
        <v>-1.5865599745069061</v>
      </c>
      <c r="J58" s="1">
        <f t="shared" si="17"/>
        <v>-1.3092390716471523</v>
      </c>
      <c r="K58" s="1">
        <f t="shared" si="18"/>
        <v>-1.7355615919872571</v>
      </c>
      <c r="L58" s="1">
        <f>AC$3*(((1+AC$5*(T-20))*$A58)^AC$4) + AC$2*$A58</f>
        <v>-1.5830985539319387</v>
      </c>
      <c r="M58" s="1">
        <f t="shared" si="19"/>
        <v>-1.4116965902227681</v>
      </c>
      <c r="N58" s="1">
        <f t="shared" si="20"/>
        <v>-1.2333963501197338</v>
      </c>
      <c r="O58" s="1">
        <f t="shared" si="21"/>
        <v>-1.4896923754794795</v>
      </c>
      <c r="P58" s="1">
        <v>0</v>
      </c>
      <c r="Q58" s="1">
        <f t="shared" si="22"/>
        <v>-12.156288289801934</v>
      </c>
      <c r="R58" s="54">
        <f t="shared" si="23"/>
        <v>0</v>
      </c>
      <c r="S58" s="54"/>
      <c r="T58" s="1"/>
    </row>
    <row r="59" spans="1:20" x14ac:dyDescent="0.25">
      <c r="A59" s="1">
        <f>Calculate[[#This Row],[Freq]]</f>
        <v>2610000000</v>
      </c>
      <c r="B59">
        <v>-1.3227568935418323</v>
      </c>
      <c r="C59">
        <v>-12.349558264450893</v>
      </c>
      <c r="E59" s="1">
        <f t="shared" si="12"/>
        <v>-1.9108089220968654</v>
      </c>
      <c r="F59" s="1">
        <f t="shared" si="13"/>
        <v>-1.7215878882291116</v>
      </c>
      <c r="G59" s="1">
        <f t="shared" si="14"/>
        <v>-1.4906572158971549</v>
      </c>
      <c r="H59" s="1">
        <f t="shared" si="15"/>
        <v>-1.6721443812872234</v>
      </c>
      <c r="I59" s="1">
        <f t="shared" si="16"/>
        <v>-1.6008326013497443</v>
      </c>
      <c r="J59" s="1">
        <f t="shared" si="17"/>
        <v>-1.3227568935418323</v>
      </c>
      <c r="K59" s="1">
        <f t="shared" si="18"/>
        <v>-1.7581565757036226</v>
      </c>
      <c r="L59" s="1">
        <f>AC$3*(((1+AC$5*(T-20))*$A59)^AC$4) + AC$2*$A59</f>
        <v>-1.5991698949306743</v>
      </c>
      <c r="M59" s="1">
        <f t="shared" si="19"/>
        <v>-1.4257838360157646</v>
      </c>
      <c r="N59" s="1">
        <f t="shared" si="20"/>
        <v>-1.245427555167157</v>
      </c>
      <c r="O59" s="1">
        <f t="shared" si="21"/>
        <v>-1.5036537309165761</v>
      </c>
      <c r="P59" s="1">
        <v>0</v>
      </c>
      <c r="Q59" s="1">
        <f t="shared" si="22"/>
        <v>-12.349558264450893</v>
      </c>
      <c r="R59" s="54">
        <f t="shared" si="23"/>
        <v>0</v>
      </c>
      <c r="S59" s="54"/>
      <c r="T59" s="1"/>
    </row>
    <row r="60" spans="1:20" x14ac:dyDescent="0.25">
      <c r="A60" s="1">
        <f>Calculate[[#This Row],[Freq]]</f>
        <v>2655000000</v>
      </c>
      <c r="B60">
        <v>-1.3361942864765313</v>
      </c>
      <c r="C60">
        <v>-12.542658057184298</v>
      </c>
      <c r="E60" s="1">
        <f t="shared" si="12"/>
        <v>-1.9288771799298889</v>
      </c>
      <c r="F60" s="1">
        <f t="shared" si="13"/>
        <v>-1.7383612810012021</v>
      </c>
      <c r="G60" s="1">
        <f t="shared" si="14"/>
        <v>-1.5062442449614881</v>
      </c>
      <c r="H60" s="1">
        <f t="shared" si="15"/>
        <v>-1.691170211024797</v>
      </c>
      <c r="I60" s="1">
        <f t="shared" si="16"/>
        <v>-1.6150014052830608</v>
      </c>
      <c r="J60" s="1">
        <f t="shared" si="17"/>
        <v>-1.3361942864765313</v>
      </c>
      <c r="K60" s="1">
        <f t="shared" si="18"/>
        <v>-1.7806847276538722</v>
      </c>
      <c r="L60" s="1">
        <f>AC$3*(((1+AC$5*(T-20))*$A60)^AC$4) + AC$2*$A60</f>
        <v>-1.6151416510273868</v>
      </c>
      <c r="M60" s="1">
        <f t="shared" si="19"/>
        <v>-1.4397802021096733</v>
      </c>
      <c r="N60" s="1">
        <f t="shared" si="20"/>
        <v>-1.2573770033548015</v>
      </c>
      <c r="O60" s="1">
        <f t="shared" si="21"/>
        <v>-1.5175114909265019</v>
      </c>
      <c r="P60" s="1">
        <v>0</v>
      </c>
      <c r="Q60" s="1">
        <f t="shared" si="22"/>
        <v>-12.542658057184298</v>
      </c>
      <c r="R60" s="54">
        <f t="shared" si="23"/>
        <v>0</v>
      </c>
      <c r="S60" s="54"/>
      <c r="T60" s="1"/>
    </row>
    <row r="61" spans="1:20" x14ac:dyDescent="0.25">
      <c r="A61" s="1">
        <f>Calculate[[#This Row],[Freq]]</f>
        <v>2700000000</v>
      </c>
      <c r="B61">
        <v>-1.3495532868110791</v>
      </c>
      <c r="C61">
        <v>-12.735591976793621</v>
      </c>
      <c r="E61" s="1">
        <f t="shared" si="12"/>
        <v>-1.9468334529915121</v>
      </c>
      <c r="F61" s="1">
        <f t="shared" si="13"/>
        <v>-1.7550266570942976</v>
      </c>
      <c r="G61" s="1">
        <f t="shared" si="14"/>
        <v>-1.5217466460296221</v>
      </c>
      <c r="H61" s="1">
        <f t="shared" si="15"/>
        <v>-1.710114004261496</v>
      </c>
      <c r="I61" s="1">
        <f t="shared" si="16"/>
        <v>-1.6290691014449927</v>
      </c>
      <c r="J61" s="1">
        <f t="shared" si="17"/>
        <v>-1.3495532868110791</v>
      </c>
      <c r="K61" s="1">
        <f t="shared" si="18"/>
        <v>-1.8031477399340359</v>
      </c>
      <c r="L61" s="1">
        <f>AC$3*(((1+AC$5*(T-20))*$A61)^AC$4) + AC$2*$A61</f>
        <v>-1.6310163435862</v>
      </c>
      <c r="M61" s="1">
        <f t="shared" si="19"/>
        <v>-1.453687989463857</v>
      </c>
      <c r="N61" s="1">
        <f t="shared" si="20"/>
        <v>-1.2692467646632453</v>
      </c>
      <c r="O61" s="1">
        <f t="shared" si="21"/>
        <v>-1.5312682784148186</v>
      </c>
      <c r="P61" s="1">
        <v>0</v>
      </c>
      <c r="Q61" s="1">
        <f t="shared" si="22"/>
        <v>-12.735591976793621</v>
      </c>
      <c r="R61" s="54">
        <f t="shared" si="23"/>
        <v>0</v>
      </c>
      <c r="S61" s="54"/>
      <c r="T61" s="1"/>
    </row>
    <row r="62" spans="1:20" x14ac:dyDescent="0.25">
      <c r="A62" s="1">
        <f>Calculate[[#This Row],[Freq]]</f>
        <v>2745000000</v>
      </c>
      <c r="B62">
        <v>-1.3628358463986423</v>
      </c>
      <c r="C62">
        <v>-12.928364153260285</v>
      </c>
      <c r="E62" s="1">
        <f t="shared" si="12"/>
        <v>-1.9646806212703374</v>
      </c>
      <c r="F62" s="1">
        <f t="shared" si="13"/>
        <v>-1.7715867059548076</v>
      </c>
      <c r="G62" s="1">
        <f t="shared" si="14"/>
        <v>-1.5371665262063356</v>
      </c>
      <c r="H62" s="1">
        <f t="shared" si="15"/>
        <v>-1.7289778035779175</v>
      </c>
      <c r="I62" s="1">
        <f t="shared" si="16"/>
        <v>-1.6430382900929279</v>
      </c>
      <c r="J62" s="1">
        <f t="shared" si="17"/>
        <v>-1.3628358463986423</v>
      </c>
      <c r="K62" s="1">
        <f t="shared" si="18"/>
        <v>-1.825547234420045</v>
      </c>
      <c r="L62" s="1">
        <f>AC$3*(((1+AC$5*(T-20))*$A62)^AC$4) + AC$2*$A62</f>
        <v>-1.6467963893374356</v>
      </c>
      <c r="M62" s="1">
        <f t="shared" si="19"/>
        <v>-1.4675094035504315</v>
      </c>
      <c r="N62" s="1">
        <f t="shared" si="20"/>
        <v>-1.2810388231711802</v>
      </c>
      <c r="O62" s="1">
        <f t="shared" si="21"/>
        <v>-1.544926607439431</v>
      </c>
      <c r="P62" s="1">
        <v>0</v>
      </c>
      <c r="Q62" s="1">
        <f t="shared" si="22"/>
        <v>-12.928364153260285</v>
      </c>
      <c r="R62" s="54">
        <f t="shared" si="23"/>
        <v>0</v>
      </c>
      <c r="S62" s="54"/>
      <c r="T62" s="1"/>
    </row>
    <row r="63" spans="1:20" x14ac:dyDescent="0.25">
      <c r="A63" s="1">
        <f>Calculate[[#This Row],[Freq]]</f>
        <v>2790000000</v>
      </c>
      <c r="B63">
        <v>-1.3760438374154245</v>
      </c>
      <c r="C63">
        <v>-13.120978547974971</v>
      </c>
      <c r="E63" s="1">
        <f t="shared" si="12"/>
        <v>-1.9824214448883128</v>
      </c>
      <c r="F63" s="1">
        <f t="shared" si="13"/>
        <v>-1.788044007242745</v>
      </c>
      <c r="G63" s="1">
        <f t="shared" si="14"/>
        <v>-1.5525059065818885</v>
      </c>
      <c r="H63" s="1">
        <f t="shared" si="15"/>
        <v>-1.747763568174094</v>
      </c>
      <c r="I63" s="1">
        <f t="shared" si="16"/>
        <v>-1.6569114632601623</v>
      </c>
      <c r="J63" s="1">
        <f t="shared" si="17"/>
        <v>-1.3760438374154245</v>
      </c>
      <c r="K63" s="1">
        <f t="shared" si="18"/>
        <v>-1.8478847667809286</v>
      </c>
      <c r="L63" s="1">
        <f>AC$3*(((1+AC$5*(T-20))*$A63)^AC$4) + AC$2*$A63</f>
        <v>-1.662484106357615</v>
      </c>
      <c r="M63" s="1">
        <f t="shared" si="19"/>
        <v>-1.4812465598115208</v>
      </c>
      <c r="N63" s="1">
        <f t="shared" si="20"/>
        <v>-1.2927550819648495</v>
      </c>
      <c r="O63" s="1">
        <f t="shared" si="21"/>
        <v>-1.5584888894314144</v>
      </c>
      <c r="P63" s="1">
        <v>0</v>
      </c>
      <c r="Q63" s="1">
        <f t="shared" si="22"/>
        <v>-13.120978547974971</v>
      </c>
      <c r="R63" s="54">
        <f t="shared" si="23"/>
        <v>0</v>
      </c>
      <c r="S63" s="54"/>
      <c r="T63" s="1"/>
    </row>
    <row r="64" spans="1:20" x14ac:dyDescent="0.25">
      <c r="A64" s="1">
        <f>Calculate[[#This Row],[Freq]]</f>
        <v>2835000000</v>
      </c>
      <c r="B64">
        <v>-1.3891790568411628</v>
      </c>
      <c r="C64">
        <v>-13.313438963218026</v>
      </c>
      <c r="E64" s="1">
        <f t="shared" si="12"/>
        <v>-2.0000585709347889</v>
      </c>
      <c r="F64" s="1">
        <f t="shared" si="13"/>
        <v>-1.8044010370053782</v>
      </c>
      <c r="G64" s="1">
        <f t="shared" si="14"/>
        <v>-1.5677667270689013</v>
      </c>
      <c r="H64" s="1">
        <f t="shared" si="15"/>
        <v>-1.7664731785582557</v>
      </c>
      <c r="I64" s="1">
        <f t="shared" si="16"/>
        <v>-1.6706910109261675</v>
      </c>
      <c r="J64" s="1">
        <f t="shared" si="17"/>
        <v>-1.3891790568411628</v>
      </c>
      <c r="K64" s="1">
        <f t="shared" si="18"/>
        <v>-1.8701618302018477</v>
      </c>
      <c r="L64" s="1">
        <f>AC$3*(((1+AC$5*(T-20))*$A64)^AC$4) + AC$2*$A64</f>
        <v>-1.6780817196170861</v>
      </c>
      <c r="M64" s="1">
        <f t="shared" si="19"/>
        <v>-1.4949014887219421</v>
      </c>
      <c r="N64" s="1">
        <f t="shared" si="20"/>
        <v>-1.3043973676925207</v>
      </c>
      <c r="O64" s="1">
        <f t="shared" si="21"/>
        <v>-1.5719574389660611</v>
      </c>
      <c r="P64" s="1">
        <v>0</v>
      </c>
      <c r="Q64" s="1">
        <f t="shared" si="22"/>
        <v>-13.313438963218026</v>
      </c>
      <c r="R64" s="54">
        <f t="shared" si="23"/>
        <v>0</v>
      </c>
      <c r="S64" s="54"/>
      <c r="T64" s="1"/>
    </row>
    <row r="65" spans="1:20" x14ac:dyDescent="0.25">
      <c r="A65" s="1">
        <f>Calculate[[#This Row],[Freq]]</f>
        <v>2880000000</v>
      </c>
      <c r="B65">
        <v>-1.4022432306208001</v>
      </c>
      <c r="C65">
        <v>-13.505749050965266</v>
      </c>
      <c r="E65" s="1">
        <f t="shared" si="12"/>
        <v>-2.0175945398090058</v>
      </c>
      <c r="F65" s="1">
        <f t="shared" si="13"/>
        <v>-1.8206601734115715</v>
      </c>
      <c r="G65" s="1">
        <f t="shared" si="14"/>
        <v>-1.5829508508950478</v>
      </c>
      <c r="H65" s="1">
        <f t="shared" si="15"/>
        <v>-1.7851084409019489</v>
      </c>
      <c r="I65" s="1">
        <f t="shared" si="16"/>
        <v>-1.6843792267430393</v>
      </c>
      <c r="J65" s="1">
        <f t="shared" si="17"/>
        <v>-1.4022432306208001</v>
      </c>
      <c r="K65" s="1">
        <f t="shared" si="18"/>
        <v>-1.8923798588421994</v>
      </c>
      <c r="L65" s="1">
        <f>AC$3*(((1+AC$5*(T-20))*$A65)^AC$4) + AC$2*$A65</f>
        <v>-1.6935913661328899</v>
      </c>
      <c r="M65" s="1">
        <f t="shared" si="19"/>
        <v>-1.5084761404916336</v>
      </c>
      <c r="N65" s="1">
        <f t="shared" si="20"/>
        <v>-1.3159674347948667</v>
      </c>
      <c r="O65" s="1">
        <f t="shared" si="21"/>
        <v>-1.5853344791232624</v>
      </c>
      <c r="P65" s="1">
        <v>0</v>
      </c>
      <c r="Q65" s="1">
        <f t="shared" si="22"/>
        <v>-13.505749050965266</v>
      </c>
      <c r="R65" s="54">
        <f t="shared" si="23"/>
        <v>0</v>
      </c>
      <c r="S65" s="54"/>
      <c r="T65" s="1"/>
    </row>
    <row r="66" spans="1:20" x14ac:dyDescent="0.25">
      <c r="A66" s="1">
        <f>Calculate[[#This Row],[Freq]]</f>
        <v>2925000000</v>
      </c>
      <c r="B66">
        <v>-1.4152380175346275</v>
      </c>
      <c r="C66">
        <v>-13.69791232107691</v>
      </c>
      <c r="E66" s="1">
        <f t="shared" ref="E66:E97" si="24">V$3*(((1+V$5*(T-20))*$A66)^V$4) + V$2*$A66</f>
        <v>-2.0350317911135498</v>
      </c>
      <c r="F66" s="1">
        <f t="shared" ref="F66:F97" si="25">W$3*(((1+W$5*(T-20))*$A66)^W$4) + W$2*$A66</f>
        <v>-1.8368237020844296</v>
      </c>
      <c r="G66" s="1">
        <f t="shared" ref="G66:G97" si="26">X$3*(((1+X$5*(T-20))*$A66)^X$4) + X$2*$A66</f>
        <v>-1.5980600687810327</v>
      </c>
      <c r="H66" s="1">
        <f t="shared" ref="H66:H97" si="27">Y$3*(((1+Y$5*(T-20))*$A66)^Y$4) + Y$2*$A66</f>
        <v>-1.803671091090072</v>
      </c>
      <c r="I66" s="1">
        <f t="shared" ref="I66:I97" si="28">Z$3*(((1+Z$5*(T-20))*$A66)^Z$4) + Z$2*$A66</f>
        <v>-1.6979783133565265</v>
      </c>
      <c r="J66" s="1">
        <f t="shared" ref="J66:J97" si="29">AA$3*(((1+AA$5*(T-20))*$A66)^AA$4) + AA$2*$A66</f>
        <v>-1.4152380175346275</v>
      </c>
      <c r="K66" s="1">
        <f t="shared" ref="K66:K97" si="30">AB$3*(((1+AB$5*(T-20))*$A66)^AB$4) + AB$2*$A66</f>
        <v>-1.914540231051479</v>
      </c>
      <c r="L66" s="1">
        <f>AC$3*(((1+AC$5*(T-20))*$A66)^AC$4) + AC$2*$A66</f>
        <v>-1.7090150997606615</v>
      </c>
      <c r="M66" s="1">
        <f t="shared" ref="M66:M97" si="31">AD$3*(((1+AD$5*(T-20))*$A66)^AD$4) + AD$2*$A66</f>
        <v>-1.5219723894386725</v>
      </c>
      <c r="N66" s="1">
        <f t="shared" ref="N66:N97" si="32">AE$3*(((1+AE$5*(T-20))*$A66)^AE$4) + AE$2*$A66</f>
        <v>-1.3274669694390058</v>
      </c>
      <c r="O66" s="1">
        <f t="shared" ref="O66:O97" si="33">AF$3*(((1+AF$5*(T-20))*$A66)^AF$4) + AF$2*$A66</f>
        <v>-1.5986221464723938</v>
      </c>
      <c r="P66" s="1">
        <v>0</v>
      </c>
      <c r="Q66" s="1">
        <f t="shared" ref="Q66:Q97" si="34">AG$3*(((1+AG$5*(T-20))*$A66)^AG$4) + AG$2*$A66</f>
        <v>-13.69791232107691</v>
      </c>
      <c r="R66" s="54">
        <f t="shared" ref="R66:R97" si="35">AH$3*(((1+AH$5*(T-20))*$A66)^AH$4) + AH$2*$A66</f>
        <v>0</v>
      </c>
      <c r="S66" s="54"/>
      <c r="T66" s="1"/>
    </row>
    <row r="67" spans="1:20" x14ac:dyDescent="0.25">
      <c r="A67" s="1">
        <f>Calculate[[#This Row],[Freq]]</f>
        <v>2970000000</v>
      </c>
      <c r="B67">
        <v>-1.4281650128014738</v>
      </c>
      <c r="C67">
        <v>-13.889932148921684</v>
      </c>
      <c r="E67" s="1">
        <f t="shared" si="24"/>
        <v>-2.0523726691369553</v>
      </c>
      <c r="F67" s="1">
        <f t="shared" si="25"/>
        <v>-1.8528938210661143</v>
      </c>
      <c r="G67" s="1">
        <f t="shared" si="26"/>
        <v>-1.6130961028303807</v>
      </c>
      <c r="H67" s="1">
        <f t="shared" si="27"/>
        <v>-1.8221627984915538</v>
      </c>
      <c r="I67" s="1">
        <f t="shared" si="28"/>
        <v>-1.7114903873561096</v>
      </c>
      <c r="J67" s="1">
        <f t="shared" si="29"/>
        <v>-1.4281650128014738</v>
      </c>
      <c r="K67" s="1">
        <f t="shared" si="30"/>
        <v>-1.9366442723633224</v>
      </c>
      <c r="L67" s="1">
        <f>AC$3*(((1+AC$5*(T-20))*$A67)^AC$4) + AC$2*$A67</f>
        <v>-1.7243548956560029</v>
      </c>
      <c r="M67" s="1">
        <f t="shared" si="31"/>
        <v>-1.5353920380606578</v>
      </c>
      <c r="N67" s="1">
        <f t="shared" si="32"/>
        <v>-1.3388975931811802</v>
      </c>
      <c r="O67" s="1">
        <f t="shared" si="33"/>
        <v>-1.6118224957133558</v>
      </c>
      <c r="P67" s="1">
        <v>0</v>
      </c>
      <c r="Q67" s="1">
        <f t="shared" si="34"/>
        <v>-13.889932148921684</v>
      </c>
      <c r="R67" s="54">
        <f t="shared" si="35"/>
        <v>0</v>
      </c>
      <c r="S67" s="54"/>
      <c r="T67" s="1"/>
    </row>
    <row r="68" spans="1:20" x14ac:dyDescent="0.25">
      <c r="A68" s="1">
        <f>Calculate[[#This Row],[Freq]]</f>
        <v>3015000000</v>
      </c>
      <c r="B68">
        <v>-1.4410257514371143</v>
      </c>
      <c r="C68">
        <v>-14.081811782482962</v>
      </c>
      <c r="E68" s="1">
        <f t="shared" si="24"/>
        <v>-2.0696194279598079</v>
      </c>
      <c r="F68" s="1">
        <f t="shared" si="25"/>
        <v>-1.8688726454453686</v>
      </c>
      <c r="G68" s="1">
        <f t="shared" si="26"/>
        <v>-1.6280606101549733</v>
      </c>
      <c r="H68" s="1">
        <f t="shared" si="27"/>
        <v>-1.840585169473866</v>
      </c>
      <c r="I68" s="1">
        <f t="shared" si="28"/>
        <v>-1.7249174838851542</v>
      </c>
      <c r="J68" s="1">
        <f t="shared" si="29"/>
        <v>-1.4410257514371143</v>
      </c>
      <c r="K68" s="1">
        <f t="shared" si="30"/>
        <v>-1.9586932582861434</v>
      </c>
      <c r="L68" s="1">
        <f>AC$3*(((1+AC$5*(T-20))*$A68)^AC$4) + AC$2*$A68</f>
        <v>-1.739612654432767</v>
      </c>
      <c r="M68" s="1">
        <f t="shared" si="31"/>
        <v>-1.5487368208294972</v>
      </c>
      <c r="N68" s="1">
        <f t="shared" si="32"/>
        <v>-1.3502608663806126</v>
      </c>
      <c r="O68" s="1">
        <f t="shared" si="33"/>
        <v>-1.624937504002324</v>
      </c>
      <c r="P68" s="1">
        <v>0</v>
      </c>
      <c r="Q68" s="1">
        <f t="shared" si="34"/>
        <v>-14.081811782482962</v>
      </c>
      <c r="R68" s="54">
        <f t="shared" si="35"/>
        <v>0</v>
      </c>
      <c r="S68" s="54"/>
      <c r="T68" s="1"/>
    </row>
    <row r="69" spans="1:20" x14ac:dyDescent="0.25">
      <c r="A69" s="1">
        <f>Calculate[[#This Row],[Freq]]</f>
        <v>3060000000</v>
      </c>
      <c r="B69">
        <v>-1.4538217113879131</v>
      </c>
      <c r="C69">
        <v>-14.273554348989343</v>
      </c>
      <c r="E69" s="1">
        <f t="shared" si="24"/>
        <v>-2.0867742362154842</v>
      </c>
      <c r="F69" s="1">
        <f t="shared" si="25"/>
        <v>-1.8847622116753493</v>
      </c>
      <c r="G69" s="1">
        <f t="shared" si="26"/>
        <v>-1.6429551862579457</v>
      </c>
      <c r="H69" s="1">
        <f t="shared" si="27"/>
        <v>-1.8589397506823293</v>
      </c>
      <c r="I69" s="1">
        <f t="shared" si="28"/>
        <v>-1.7382615609392427</v>
      </c>
      <c r="J69" s="1">
        <f t="shared" si="29"/>
        <v>-1.4538217113879131</v>
      </c>
      <c r="K69" s="1">
        <f t="shared" si="30"/>
        <v>-1.9806884169070123</v>
      </c>
      <c r="L69" s="1">
        <f>AC$3*(((1+AC$5*(T-20))*$A69)^AC$4) + AC$2*$A69</f>
        <v>-1.75479020604305</v>
      </c>
      <c r="M69" s="1">
        <f t="shared" si="31"/>
        <v>-1.5620084077322318</v>
      </c>
      <c r="N69" s="1">
        <f t="shared" si="32"/>
        <v>-1.361558291384886</v>
      </c>
      <c r="O69" s="1">
        <f t="shared" si="33"/>
        <v>-1.6379690749879958</v>
      </c>
      <c r="P69" s="1">
        <v>0</v>
      </c>
      <c r="Q69" s="1">
        <f t="shared" si="34"/>
        <v>-14.273554348989343</v>
      </c>
      <c r="R69" s="54">
        <f t="shared" si="35"/>
        <v>0</v>
      </c>
      <c r="S69" s="54"/>
      <c r="T69" s="1"/>
    </row>
    <row r="70" spans="1:20" x14ac:dyDescent="0.25">
      <c r="A70" s="1">
        <f>Calculate[[#This Row],[Freq]]</f>
        <v>3105000000</v>
      </c>
      <c r="B70">
        <v>-1.4665543164578239</v>
      </c>
      <c r="C70">
        <v>-14.465162861107952</v>
      </c>
      <c r="E70" s="1">
        <f t="shared" si="24"/>
        <v>-2.1038391815335724</v>
      </c>
      <c r="F70" s="1">
        <f t="shared" si="25"/>
        <v>-1.9005644816067195</v>
      </c>
      <c r="G70" s="1">
        <f t="shared" si="26"/>
        <v>-1.6577813681935014</v>
      </c>
      <c r="H70" s="1">
        <f t="shared" si="27"/>
        <v>-1.8772280321031682</v>
      </c>
      <c r="I70" s="1">
        <f t="shared" si="28"/>
        <v>-1.7515245033780071</v>
      </c>
      <c r="J70" s="1">
        <f t="shared" si="29"/>
        <v>-1.4665543164578239</v>
      </c>
      <c r="K70" s="1">
        <f t="shared" si="30"/>
        <v>-2.0026309313238184</v>
      </c>
      <c r="L70" s="1">
        <f>AC$3*(((1+AC$5*(T-20))*$A70)^AC$4) + AC$2*$A70</f>
        <v>-1.7698893134013201</v>
      </c>
      <c r="M70" s="1">
        <f t="shared" si="31"/>
        <v>-1.5752084075783614</v>
      </c>
      <c r="N70" s="1">
        <f t="shared" si="32"/>
        <v>-1.3727913155052707</v>
      </c>
      <c r="O70" s="1">
        <f t="shared" si="33"/>
        <v>-1.6509190425816747</v>
      </c>
      <c r="P70" s="1">
        <v>0</v>
      </c>
      <c r="Q70" s="1">
        <f t="shared" si="34"/>
        <v>-14.465162861107952</v>
      </c>
      <c r="R70" s="54">
        <f t="shared" si="35"/>
        <v>0</v>
      </c>
      <c r="S70" s="54"/>
      <c r="T70" s="1"/>
    </row>
    <row r="71" spans="1:20" x14ac:dyDescent="0.25">
      <c r="A71" s="1">
        <f>Calculate[[#This Row],[Freq]]</f>
        <v>3150000000</v>
      </c>
      <c r="B71">
        <v>-1.4792249390451582</v>
      </c>
      <c r="C71">
        <v>-14.65664022273527</v>
      </c>
      <c r="E71" s="1">
        <f t="shared" si="24"/>
        <v>-2.1208162746913994</v>
      </c>
      <c r="F71" s="1">
        <f t="shared" si="25"/>
        <v>-1.916281346258627</v>
      </c>
      <c r="G71" s="1">
        <f t="shared" si="26"/>
        <v>-1.6725406375213649</v>
      </c>
      <c r="H71" s="1">
        <f t="shared" si="27"/>
        <v>-1.8954514499274908</v>
      </c>
      <c r="I71" s="1">
        <f t="shared" si="28"/>
        <v>-1.7647081266734248</v>
      </c>
      <c r="J71" s="1">
        <f t="shared" si="29"/>
        <v>-1.4792249390451582</v>
      </c>
      <c r="K71" s="1">
        <f t="shared" si="30"/>
        <v>-2.0245219419193665</v>
      </c>
      <c r="L71" s="1">
        <f>AC$3*(((1+AC$5*(T-20))*$A71)^AC$4) + AC$2*$A71</f>
        <v>-1.7849116757730088</v>
      </c>
      <c r="M71" s="1">
        <f t="shared" si="31"/>
        <v>-1.5883383710922221</v>
      </c>
      <c r="N71" s="1">
        <f t="shared" si="32"/>
        <v>-1.383961333798676</v>
      </c>
      <c r="O71" s="1">
        <f t="shared" si="33"/>
        <v>-1.6637891744823254</v>
      </c>
      <c r="P71" s="1">
        <v>0</v>
      </c>
      <c r="Q71" s="1">
        <f t="shared" si="34"/>
        <v>-14.65664022273527</v>
      </c>
      <c r="R71" s="54">
        <f t="shared" si="35"/>
        <v>0</v>
      </c>
      <c r="S71" s="54"/>
      <c r="T71" s="1"/>
    </row>
    <row r="72" spans="1:20" x14ac:dyDescent="0.25">
      <c r="A72" s="1">
        <f>Calculate[[#This Row],[Freq]]</f>
        <v>3195000000</v>
      </c>
      <c r="B72">
        <v>-1.491834902704021</v>
      </c>
      <c r="C72">
        <v>-14.847989234416936</v>
      </c>
      <c r="E72" s="1">
        <f t="shared" si="24"/>
        <v>-2.1377074534967293</v>
      </c>
      <c r="F72" s="1">
        <f t="shared" si="25"/>
        <v>-1.9319146293480878</v>
      </c>
      <c r="G72" s="1">
        <f t="shared" si="26"/>
        <v>-1.6872344230719554</v>
      </c>
      <c r="H72" s="1">
        <f t="shared" si="27"/>
        <v>-1.9136113892317872</v>
      </c>
      <c r="I72" s="1">
        <f t="shared" si="28"/>
        <v>-1.7778141804153906</v>
      </c>
      <c r="J72" s="1">
        <f t="shared" si="29"/>
        <v>-1.491834902704021</v>
      </c>
      <c r="K72" s="1">
        <f t="shared" si="30"/>
        <v>-2.0463625484897801</v>
      </c>
      <c r="L72" s="1">
        <f>AC$3*(((1+AC$5*(T-20))*$A72)^AC$4) + AC$2*$A72</f>
        <v>-1.7998589319460088</v>
      </c>
      <c r="M72" s="1">
        <f t="shared" si="31"/>
        <v>-1.6013997938072484</v>
      </c>
      <c r="N72" s="1">
        <f t="shared" si="32"/>
        <v>-1.3950696916713752</v>
      </c>
      <c r="O72" s="1">
        <f t="shared" si="33"/>
        <v>-1.676581175475798</v>
      </c>
      <c r="P72" s="1">
        <v>0</v>
      </c>
      <c r="Q72" s="1">
        <f t="shared" si="34"/>
        <v>-14.847989234416936</v>
      </c>
      <c r="R72" s="54">
        <f t="shared" si="35"/>
        <v>0</v>
      </c>
      <c r="S72" s="54"/>
      <c r="T72" s="1"/>
    </row>
    <row r="73" spans="1:20" x14ac:dyDescent="0.25">
      <c r="A73" s="1">
        <f>Calculate[[#This Row],[Freq]]</f>
        <v>3240000000</v>
      </c>
      <c r="B73">
        <v>-1.5043854845439468</v>
      </c>
      <c r="C73">
        <v>-15.039212598425197</v>
      </c>
      <c r="E73" s="1">
        <f t="shared" si="24"/>
        <v>-2.1545145864225694</v>
      </c>
      <c r="F73" s="1">
        <f t="shared" si="25"/>
        <v>-1.9474660905964325</v>
      </c>
      <c r="G73" s="1">
        <f t="shared" si="26"/>
        <v>-1.7018641035368929</v>
      </c>
      <c r="H73" s="1">
        <f t="shared" si="27"/>
        <v>-1.9317091864891078</v>
      </c>
      <c r="I73" s="1">
        <f t="shared" si="28"/>
        <v>-1.7908443515934771</v>
      </c>
      <c r="J73" s="1">
        <f t="shared" si="29"/>
        <v>-1.5043854845439468</v>
      </c>
      <c r="K73" s="1">
        <f t="shared" si="30"/>
        <v>-2.0681538122384584</v>
      </c>
      <c r="L73" s="1">
        <f>AC$3*(((1+AC$5*(T-20))*$A73)^AC$4) + AC$2*$A73</f>
        <v>-1.8147326632018381</v>
      </c>
      <c r="M73" s="1">
        <f t="shared" si="31"/>
        <v>-1.6143941187774131</v>
      </c>
      <c r="N73" s="1">
        <f t="shared" si="32"/>
        <v>-1.4061176873182621</v>
      </c>
      <c r="O73" s="1">
        <f t="shared" si="33"/>
        <v>-1.6892966905256455</v>
      </c>
      <c r="P73" s="1">
        <v>0</v>
      </c>
      <c r="Q73" s="1">
        <f t="shared" si="34"/>
        <v>-15.039212598425197</v>
      </c>
      <c r="R73" s="54">
        <f t="shared" si="35"/>
        <v>0</v>
      </c>
      <c r="S73" s="54"/>
      <c r="T73" s="1"/>
    </row>
    <row r="74" spans="1:20" x14ac:dyDescent="0.25">
      <c r="A74" s="1">
        <f>Calculate[[#This Row],[Freq]]</f>
        <v>3285000000</v>
      </c>
      <c r="B74">
        <v>-1.5168779174800595</v>
      </c>
      <c r="C74">
        <v>-15.230312923520106</v>
      </c>
      <c r="E74" s="1">
        <f t="shared" si="24"/>
        <v>-2.1712394760131253</v>
      </c>
      <c r="F74" s="1">
        <f t="shared" si="25"/>
        <v>-1.9629374288297863</v>
      </c>
      <c r="G74" s="1">
        <f t="shared" si="26"/>
        <v>-1.7164310098981339</v>
      </c>
      <c r="H74" s="1">
        <f t="shared" si="27"/>
        <v>-1.9497461319238161</v>
      </c>
      <c r="I74" s="1">
        <f t="shared" si="28"/>
        <v>-1.8038002676720719</v>
      </c>
      <c r="J74" s="1">
        <f t="shared" si="29"/>
        <v>-1.5168779174800595</v>
      </c>
      <c r="K74" s="1">
        <f t="shared" si="30"/>
        <v>-2.0898967576458269</v>
      </c>
      <c r="L74" s="1">
        <f>AC$3*(((1+AC$5*(T-20))*$A74)^AC$4) + AC$2*$A74</f>
        <v>-1.8295343961017223</v>
      </c>
      <c r="M74" s="1">
        <f t="shared" si="31"/>
        <v>-1.6273227391197662</v>
      </c>
      <c r="N74" s="1">
        <f t="shared" si="32"/>
        <v>-1.41710657401016</v>
      </c>
      <c r="O74" s="1">
        <f t="shared" si="33"/>
        <v>-1.7019373076714113</v>
      </c>
      <c r="P74" s="1">
        <v>0</v>
      </c>
      <c r="Q74" s="1">
        <f t="shared" si="34"/>
        <v>-15.230312923520106</v>
      </c>
      <c r="R74" s="54">
        <f t="shared" si="35"/>
        <v>0</v>
      </c>
      <c r="S74" s="54"/>
      <c r="T74" s="1"/>
    </row>
    <row r="75" spans="1:20" x14ac:dyDescent="0.25">
      <c r="A75" s="1">
        <f>Calculate[[#This Row],[Freq]]</f>
        <v>3330000000</v>
      </c>
      <c r="B75">
        <v>-1.5293133923449758</v>
      </c>
      <c r="C75">
        <v>-15.421292729418141</v>
      </c>
      <c r="E75" s="1">
        <f t="shared" si="24"/>
        <v>-2.1878838620782175</v>
      </c>
      <c r="F75" s="1">
        <f t="shared" si="25"/>
        <v>-1.9783302848890483</v>
      </c>
      <c r="G75" s="1">
        <f t="shared" si="26"/>
        <v>-1.7309364277078614</v>
      </c>
      <c r="H75" s="1">
        <f t="shared" si="27"/>
        <v>-1.9677234717216598</v>
      </c>
      <c r="I75" s="1">
        <f t="shared" si="28"/>
        <v>-1.8166834994745233</v>
      </c>
      <c r="J75" s="1">
        <f t="shared" si="29"/>
        <v>-1.5293133923449758</v>
      </c>
      <c r="K75" s="1">
        <f t="shared" si="30"/>
        <v>-2.111592374224208</v>
      </c>
      <c r="L75" s="1">
        <f>AC$3*(((1+AC$5*(T-20))*$A75)^AC$4) + AC$2*$A75</f>
        <v>-1.844265605101499</v>
      </c>
      <c r="M75" s="1">
        <f t="shared" si="31"/>
        <v>-1.6401870004007542</v>
      </c>
      <c r="N75" s="1">
        <f t="shared" si="32"/>
        <v>-1.4280375622405941</v>
      </c>
      <c r="O75" s="1">
        <f t="shared" si="33"/>
        <v>-1.7145045607488394</v>
      </c>
      <c r="P75" s="1">
        <v>0</v>
      </c>
      <c r="Q75" s="1">
        <f t="shared" si="34"/>
        <v>-15.421292729418141</v>
      </c>
      <c r="R75" s="54">
        <f t="shared" si="35"/>
        <v>0</v>
      </c>
      <c r="S75" s="54"/>
      <c r="T75" s="1"/>
    </row>
    <row r="76" spans="1:20" x14ac:dyDescent="0.25">
      <c r="A76" s="1">
        <f>Calculate[[#This Row],[Freq]]</f>
        <v>3375000000</v>
      </c>
      <c r="B76">
        <v>-1.5416930598727019</v>
      </c>
      <c r="C76">
        <v>-15.612154450989994</v>
      </c>
      <c r="E76" s="1">
        <f t="shared" si="24"/>
        <v>-2.2044494246920041</v>
      </c>
      <c r="F76" s="1">
        <f t="shared" si="25"/>
        <v>-1.9936462443634897</v>
      </c>
      <c r="G76" s="1">
        <f t="shared" si="26"/>
        <v>-1.7453815992301778</v>
      </c>
      <c r="H76" s="1">
        <f t="shared" si="27"/>
        <v>-1.9856424101058829</v>
      </c>
      <c r="I76" s="1">
        <f t="shared" si="28"/>
        <v>-1.8294955638906003</v>
      </c>
      <c r="J76" s="1">
        <f t="shared" si="29"/>
        <v>-1.5416930598727019</v>
      </c>
      <c r="K76" s="1">
        <f t="shared" si="30"/>
        <v>-2.1332416181663207</v>
      </c>
      <c r="L76" s="1">
        <f>AC$3*(((1+AC$5*(T-20))*$A76)^AC$4) + AC$2*$A76</f>
        <v>-1.858927715008019</v>
      </c>
      <c r="M76" s="1">
        <f t="shared" si="31"/>
        <v>-1.6529882028778986</v>
      </c>
      <c r="N76" s="1">
        <f t="shared" si="32"/>
        <v>-1.4389118217424413</v>
      </c>
      <c r="O76" s="1">
        <f t="shared" si="33"/>
        <v>-1.7269999319452027</v>
      </c>
      <c r="P76" s="1">
        <v>0</v>
      </c>
      <c r="Q76" s="1">
        <f t="shared" si="34"/>
        <v>-15.612154450989994</v>
      </c>
      <c r="R76" s="54">
        <f t="shared" si="35"/>
        <v>0</v>
      </c>
      <c r="S76" s="54"/>
      <c r="T76" s="1"/>
    </row>
    <row r="77" spans="1:20" x14ac:dyDescent="0.25">
      <c r="A77" s="1">
        <f>Calculate[[#This Row],[Freq]]</f>
        <v>3420000000</v>
      </c>
      <c r="B77">
        <v>-1.5540180325638728</v>
      </c>
      <c r="C77">
        <v>-15.802900442207282</v>
      </c>
      <c r="E77" s="1">
        <f t="shared" si="24"/>
        <v>-2.2209377870104299</v>
      </c>
      <c r="F77" s="1">
        <f t="shared" si="25"/>
        <v>-2.0088868401608564</v>
      </c>
      <c r="G77" s="1">
        <f t="shared" si="26"/>
        <v>-1.7597677254547086</v>
      </c>
      <c r="H77" s="1">
        <f t="shared" si="27"/>
        <v>-2.0035041112891685</v>
      </c>
      <c r="I77" s="1">
        <f t="shared" si="28"/>
        <v>-1.8422379264202811</v>
      </c>
      <c r="J77" s="1">
        <f t="shared" si="29"/>
        <v>-1.5540180325638728</v>
      </c>
      <c r="K77" s="1">
        <f t="shared" si="30"/>
        <v>-2.1548454138951869</v>
      </c>
      <c r="L77" s="1">
        <f>AC$3*(((1+AC$5*(T-20))*$A77)^AC$4) + AC$2*$A77</f>
        <v>-1.8735221032886378</v>
      </c>
      <c r="M77" s="1">
        <f t="shared" si="31"/>
        <v>-1.6657276036074018</v>
      </c>
      <c r="N77" s="1">
        <f t="shared" si="32"/>
        <v>-1.449730483383967</v>
      </c>
      <c r="O77" s="1">
        <f t="shared" si="33"/>
        <v>-1.7394248542018029</v>
      </c>
      <c r="P77" s="1">
        <v>0</v>
      </c>
      <c r="Q77" s="1">
        <f t="shared" si="34"/>
        <v>-15.802900442207282</v>
      </c>
      <c r="R77" s="54">
        <f t="shared" si="35"/>
        <v>0</v>
      </c>
      <c r="S77" s="54"/>
      <c r="T77" s="1"/>
    </row>
    <row r="78" spans="1:20" x14ac:dyDescent="0.25">
      <c r="A78" s="1">
        <f>Calculate[[#This Row],[Freq]]</f>
        <v>3465000000</v>
      </c>
      <c r="B78">
        <v>-1.5662893864409031</v>
      </c>
      <c r="C78">
        <v>-15.993532979856326</v>
      </c>
      <c r="E78" s="1">
        <f t="shared" si="24"/>
        <v>-2.2373505179205688</v>
      </c>
      <c r="F78" s="1">
        <f t="shared" si="25"/>
        <v>-2.024053554925779</v>
      </c>
      <c r="G78" s="1">
        <f t="shared" si="26"/>
        <v>-1.7740959679913586</v>
      </c>
      <c r="H78" s="1">
        <f t="shared" si="27"/>
        <v>-2.021309701310372</v>
      </c>
      <c r="I78" s="1">
        <f t="shared" si="28"/>
        <v>-1.8549120035657714</v>
      </c>
      <c r="J78" s="1">
        <f t="shared" si="29"/>
        <v>-1.5662893864409031</v>
      </c>
      <c r="K78" s="1">
        <f t="shared" si="30"/>
        <v>-2.1764046555225591</v>
      </c>
      <c r="L78" s="1">
        <f>AC$3*(((1+AC$5*(T-20))*$A78)^AC$4) + AC$2*$A78</f>
        <v>-1.8880501022443907</v>
      </c>
      <c r="M78" s="1">
        <f t="shared" si="31"/>
        <v>-1.6784064184273555</v>
      </c>
      <c r="N78" s="1">
        <f t="shared" si="32"/>
        <v>-1.4604946409529513</v>
      </c>
      <c r="O78" s="1">
        <f t="shared" si="33"/>
        <v>-1.7517807134746641</v>
      </c>
      <c r="P78" s="1">
        <v>0</v>
      </c>
      <c r="Q78" s="1">
        <f t="shared" si="34"/>
        <v>-15.993532979856326</v>
      </c>
      <c r="R78" s="54">
        <f t="shared" si="35"/>
        <v>0</v>
      </c>
      <c r="S78" s="54"/>
      <c r="T78" s="1"/>
    </row>
    <row r="79" spans="1:20" x14ac:dyDescent="0.25">
      <c r="A79" s="1">
        <f>Calculate[[#This Row],[Freq]]</f>
        <v>3510000000</v>
      </c>
      <c r="B79">
        <v>-1.5785081627008783</v>
      </c>
      <c r="C79">
        <v>-16.184054267035542</v>
      </c>
      <c r="E79" s="1">
        <f t="shared" si="24"/>
        <v>-2.2536891345339516</v>
      </c>
      <c r="F79" s="1">
        <f t="shared" si="25"/>
        <v>-2.0391478233172844</v>
      </c>
      <c r="G79" s="1">
        <f t="shared" si="26"/>
        <v>-1.7883674508546763</v>
      </c>
      <c r="H79" s="1">
        <f t="shared" si="27"/>
        <v>-2.0390602697642439</v>
      </c>
      <c r="I79" s="1">
        <f t="shared" si="28"/>
        <v>-1.8675191650826535</v>
      </c>
      <c r="J79" s="1">
        <f t="shared" si="29"/>
        <v>-1.5785081627008783</v>
      </c>
      <c r="K79" s="1">
        <f t="shared" si="30"/>
        <v>-2.1979202082223765</v>
      </c>
      <c r="L79" s="1">
        <f>AC$3*(((1+AC$5*(T-20))*$A79)^AC$4) + AC$2*$A79</f>
        <v>-1.9025130010565605</v>
      </c>
      <c r="M79" s="1">
        <f t="shared" si="31"/>
        <v>-1.6910258238254068</v>
      </c>
      <c r="N79" s="1">
        <f t="shared" si="32"/>
        <v>-1.4712053528368736</v>
      </c>
      <c r="O79" s="1">
        <f t="shared" si="33"/>
        <v>-1.7640688508635212</v>
      </c>
      <c r="P79" s="1">
        <v>0</v>
      </c>
      <c r="Q79" s="1">
        <f t="shared" si="34"/>
        <v>-16.184054267035542</v>
      </c>
      <c r="R79" s="54">
        <f t="shared" si="35"/>
        <v>0</v>
      </c>
      <c r="S79" s="54"/>
      <c r="T79" s="1"/>
    </row>
    <row r="80" spans="1:20" x14ac:dyDescent="0.25">
      <c r="A80" s="1">
        <f>Calculate[[#This Row],[Freq]]</f>
        <v>3555000000</v>
      </c>
      <c r="B80">
        <v>-1.5906753692733864</v>
      </c>
      <c r="C80">
        <v>-16.374466436451705</v>
      </c>
      <c r="E80" s="1">
        <f t="shared" si="24"/>
        <v>-2.269955104534978</v>
      </c>
      <c r="F80" s="1">
        <f t="shared" si="25"/>
        <v>-2.0541710341553179</v>
      </c>
      <c r="G80" s="1">
        <f t="shared" si="26"/>
        <v>-1.8025832621455935</v>
      </c>
      <c r="H80" s="1">
        <f t="shared" si="27"/>
        <v>-2.0567568714316735</v>
      </c>
      <c r="I80" s="1">
        <f t="shared" si="28"/>
        <v>-1.8800607361002011</v>
      </c>
      <c r="J80" s="1">
        <f t="shared" si="29"/>
        <v>-1.5906753692733864</v>
      </c>
      <c r="K80" s="1">
        <f t="shared" si="30"/>
        <v>-2.2193929095252307</v>
      </c>
      <c r="L80" s="1">
        <f>AC$3*(((1+AC$5*(T-20))*$A80)^AC$4) + AC$2*$A80</f>
        <v>-1.916912047715539</v>
      </c>
      <c r="M80" s="1">
        <f t="shared" si="31"/>
        <v>-1.7035869586990073</v>
      </c>
      <c r="N80" s="1">
        <f t="shared" si="32"/>
        <v>-1.4818636436064598</v>
      </c>
      <c r="O80" s="1">
        <f t="shared" si="33"/>
        <v>-1.77629056461836</v>
      </c>
      <c r="P80" s="1">
        <v>0</v>
      </c>
      <c r="Q80" s="1">
        <f t="shared" si="34"/>
        <v>-16.374466436451705</v>
      </c>
      <c r="R80" s="54">
        <f t="shared" si="35"/>
        <v>0</v>
      </c>
      <c r="S80" s="54"/>
      <c r="T80" s="1"/>
    </row>
    <row r="81" spans="1:20" x14ac:dyDescent="0.25">
      <c r="A81" s="1">
        <f>Calculate[[#This Row],[Freq]]</f>
        <v>3600000000</v>
      </c>
      <c r="B81">
        <v>-1.6027919822898777</v>
      </c>
      <c r="C81">
        <v>-16.564771553529017</v>
      </c>
      <c r="E81" s="1">
        <f t="shared" si="24"/>
        <v>-2.2861498483944769</v>
      </c>
      <c r="F81" s="1">
        <f t="shared" si="25"/>
        <v>-2.0691245324453695</v>
      </c>
      <c r="G81" s="1">
        <f t="shared" si="26"/>
        <v>-1.8167444556376622</v>
      </c>
      <c r="H81" s="1">
        <f t="shared" si="27"/>
        <v>-2.0744005278173496</v>
      </c>
      <c r="I81" s="1">
        <f t="shared" si="28"/>
        <v>-1.8925379991199363</v>
      </c>
      <c r="J81" s="1">
        <f t="shared" si="29"/>
        <v>-1.6027919822898777</v>
      </c>
      <c r="K81" s="1">
        <f t="shared" si="30"/>
        <v>-2.24082357053932</v>
      </c>
      <c r="L81" s="1">
        <f>AC$3*(((1+AC$5*(T-20))*$A81)^AC$4) + AC$2*$A81</f>
        <v>-1.9312484508401471</v>
      </c>
      <c r="M81" s="1">
        <f t="shared" si="31"/>
        <v>-1.7160909260157022</v>
      </c>
      <c r="N81" s="1">
        <f t="shared" si="32"/>
        <v>-1.4924705055093057</v>
      </c>
      <c r="O81" s="1">
        <f t="shared" si="33"/>
        <v>-1.7884471120320098</v>
      </c>
      <c r="P81" s="1">
        <v>0</v>
      </c>
      <c r="Q81" s="1">
        <f t="shared" si="34"/>
        <v>-16.564771553529017</v>
      </c>
      <c r="R81" s="54">
        <f t="shared" si="35"/>
        <v>0</v>
      </c>
      <c r="S81" s="54"/>
      <c r="T81" s="1"/>
    </row>
    <row r="82" spans="1:20" x14ac:dyDescent="0.25">
      <c r="A82" s="1">
        <f>Calculate[[#This Row],[Freq]]</f>
        <v>3645000000</v>
      </c>
      <c r="B82">
        <v>-1.6148589474706248</v>
      </c>
      <c r="C82">
        <v>-16.754971619343799</v>
      </c>
      <c r="E82" s="1">
        <f t="shared" si="24"/>
        <v>-2.3022747414578286</v>
      </c>
      <c r="F82" s="1">
        <f t="shared" si="25"/>
        <v>-2.0840096212895549</v>
      </c>
      <c r="G82" s="1">
        <f t="shared" si="26"/>
        <v>-1.8308520522743317</v>
      </c>
      <c r="H82" s="1">
        <f t="shared" si="27"/>
        <v>-2.0919922286011885</v>
      </c>
      <c r="I82" s="1">
        <f t="shared" si="28"/>
        <v>-1.9049521959009357</v>
      </c>
      <c r="J82" s="1">
        <f t="shared" si="29"/>
        <v>-1.6148589474706248</v>
      </c>
      <c r="K82" s="1">
        <f t="shared" si="30"/>
        <v>-2.26221297710293</v>
      </c>
      <c r="L82" s="1">
        <f>AC$3*(((1+AC$5*(T-20))*$A82)^AC$4) + AC$2*$A82</f>
        <v>-1.9455233813949322</v>
      </c>
      <c r="M82" s="1">
        <f t="shared" si="31"/>
        <v>-1.7285387943803046</v>
      </c>
      <c r="N82" s="1">
        <f t="shared" si="32"/>
        <v>-1.5030268998797323</v>
      </c>
      <c r="O82" s="1">
        <f t="shared" si="33"/>
        <v>-1.8005397112265944</v>
      </c>
      <c r="P82" s="1">
        <v>0</v>
      </c>
      <c r="Q82" s="1">
        <f t="shared" si="34"/>
        <v>-16.754971619343799</v>
      </c>
      <c r="R82" s="54">
        <f t="shared" si="35"/>
        <v>0</v>
      </c>
      <c r="S82" s="54"/>
      <c r="T82" s="1"/>
    </row>
    <row r="83" spans="1:20" x14ac:dyDescent="0.25">
      <c r="A83" s="1">
        <f>Calculate[[#This Row],[Freq]]</f>
        <v>3690000000</v>
      </c>
      <c r="B83">
        <v>-1.626877181434855</v>
      </c>
      <c r="C83">
        <v>-16.945068573396647</v>
      </c>
      <c r="E83" s="1">
        <f t="shared" si="24"/>
        <v>-2.3183311159161604</v>
      </c>
      <c r="F83" s="1">
        <f t="shared" si="25"/>
        <v>-2.098827563691839</v>
      </c>
      <c r="G83" s="1">
        <f t="shared" si="26"/>
        <v>-1.8449070415832918</v>
      </c>
      <c r="H83" s="1">
        <f t="shared" si="27"/>
        <v>-2.109532933009366</v>
      </c>
      <c r="I83" s="1">
        <f t="shared" si="28"/>
        <v>-1.9173045292395643</v>
      </c>
      <c r="J83" s="1">
        <f t="shared" si="29"/>
        <v>-1.626877181434855</v>
      </c>
      <c r="K83" s="1">
        <f t="shared" si="30"/>
        <v>-2.2835618908730799</v>
      </c>
      <c r="L83" s="1">
        <f>AC$3*(((1+AC$5*(T-20))*$A83)^AC$4) + AC$2*$A83</f>
        <v>-1.9597379743123364</v>
      </c>
      <c r="M83" s="1">
        <f t="shared" si="31"/>
        <v>-1.7409315995152657</v>
      </c>
      <c r="N83" s="1">
        <f t="shared" si="32"/>
        <v>-1.5135337584705528</v>
      </c>
      <c r="O83" s="1">
        <f t="shared" si="33"/>
        <v>-1.8125695428410338</v>
      </c>
      <c r="P83" s="1">
        <v>0</v>
      </c>
      <c r="Q83" s="1">
        <f t="shared" si="34"/>
        <v>-16.945068573396647</v>
      </c>
      <c r="R83" s="54">
        <f t="shared" si="35"/>
        <v>0</v>
      </c>
      <c r="S83" s="54"/>
      <c r="T83" s="1"/>
    </row>
    <row r="84" spans="1:20" x14ac:dyDescent="0.25">
      <c r="A84" s="1">
        <f>Calculate[[#This Row],[Freq]]</f>
        <v>3735000000</v>
      </c>
      <c r="B84">
        <v>-1.6388475729391991</v>
      </c>
      <c r="C84">
        <v>-17.135064296232901</v>
      </c>
      <c r="E84" s="1">
        <f t="shared" si="24"/>
        <v>-2.3343202626685127</v>
      </c>
      <c r="F84" s="1">
        <f t="shared" si="25"/>
        <v>-2.1135795842644884</v>
      </c>
      <c r="G84" s="1">
        <f t="shared" si="26"/>
        <v>-1.8589103830134268</v>
      </c>
      <c r="H84" s="1">
        <f t="shared" si="27"/>
        <v>-2.1270235711103322</v>
      </c>
      <c r="I84" s="1">
        <f t="shared" si="28"/>
        <v>-1.92959616465077</v>
      </c>
      <c r="J84" s="1">
        <f t="shared" si="29"/>
        <v>-1.6388475729391991</v>
      </c>
      <c r="K84" s="1">
        <f t="shared" si="30"/>
        <v>-2.3048710503545964</v>
      </c>
      <c r="L84" s="1">
        <f>AC$3*(((1+AC$5*(T-20))*$A84)^AC$4) + AC$2*$A84</f>
        <v>-1.9738933300261092</v>
      </c>
      <c r="M84" s="1">
        <f t="shared" si="31"/>
        <v>-1.7532703456600438</v>
      </c>
      <c r="N84" s="1">
        <f t="shared" si="32"/>
        <v>-1.5239919847119647</v>
      </c>
      <c r="O84" s="1">
        <f t="shared" si="33"/>
        <v>-1.8245377516262098</v>
      </c>
      <c r="P84" s="1">
        <v>0</v>
      </c>
      <c r="Q84" s="1">
        <f t="shared" si="34"/>
        <v>-17.135064296232901</v>
      </c>
      <c r="R84" s="54">
        <f t="shared" si="35"/>
        <v>0</v>
      </c>
      <c r="S84" s="54"/>
      <c r="T84" s="1"/>
    </row>
    <row r="85" spans="1:20" x14ac:dyDescent="0.25">
      <c r="A85" s="1">
        <f>Calculate[[#This Row],[Freq]]</f>
        <v>3780000000</v>
      </c>
      <c r="B85">
        <v>-1.65077098404919</v>
      </c>
      <c r="C85">
        <v>-17.324960611921455</v>
      </c>
      <c r="E85" s="1">
        <f t="shared" si="24"/>
        <v>-2.3502434330822632</v>
      </c>
      <c r="F85" s="1">
        <f t="shared" si="25"/>
        <v>-2.1282668708422685</v>
      </c>
      <c r="G85" s="1">
        <f t="shared" si="26"/>
        <v>-1.8728630071994965</v>
      </c>
      <c r="H85" s="1">
        <f t="shared" si="27"/>
        <v>-2.1444650450407639</v>
      </c>
      <c r="I85" s="1">
        <f t="shared" si="28"/>
        <v>-1.9418282319575204</v>
      </c>
      <c r="J85" s="1">
        <f t="shared" si="29"/>
        <v>-1.65077098404919</v>
      </c>
      <c r="K85" s="1">
        <f t="shared" si="30"/>
        <v>-2.3261411718735663</v>
      </c>
      <c r="L85" s="1">
        <f>AC$3*(((1+AC$5*(T-20))*$A85)^AC$4) + AC$2*$A85</f>
        <v>-1.9879905159218236</v>
      </c>
      <c r="M85" s="1">
        <f t="shared" si="31"/>
        <v>-1.7655560068948226</v>
      </c>
      <c r="N85" s="1">
        <f t="shared" si="32"/>
        <v>-1.5344024549023916</v>
      </c>
      <c r="O85" s="1">
        <f t="shared" si="33"/>
        <v>-1.8364454479538965</v>
      </c>
      <c r="P85" s="1">
        <v>0</v>
      </c>
      <c r="Q85" s="1">
        <f t="shared" si="34"/>
        <v>-17.324960611921455</v>
      </c>
      <c r="R85" s="54">
        <f t="shared" si="35"/>
        <v>0</v>
      </c>
      <c r="S85" s="54"/>
      <c r="T85" s="1"/>
    </row>
    <row r="86" spans="1:20" x14ac:dyDescent="0.25">
      <c r="A86" s="1">
        <f>Calculate[[#This Row],[Freq]]</f>
        <v>3825000000</v>
      </c>
      <c r="B86">
        <v>-1.6626482512481779</v>
      </c>
      <c r="C86">
        <v>-17.514759290401127</v>
      </c>
      <c r="E86" s="1">
        <f t="shared" si="24"/>
        <v>-2.3661018406584882</v>
      </c>
      <c r="F86" s="1">
        <f t="shared" si="25"/>
        <v>-2.1428905760104167</v>
      </c>
      <c r="G86" s="1">
        <f t="shared" si="26"/>
        <v>-1.8867658171592563</v>
      </c>
      <c r="H86" s="1">
        <f t="shared" si="27"/>
        <v>-2.1618582301660272</v>
      </c>
      <c r="I86" s="1">
        <f t="shared" si="28"/>
        <v>-1.9540018267944077</v>
      </c>
      <c r="J86" s="1">
        <f t="shared" si="29"/>
        <v>-1.6626482512481779</v>
      </c>
      <c r="K86" s="1">
        <f t="shared" si="30"/>
        <v>-2.3473729504987757</v>
      </c>
      <c r="L86" s="1">
        <f>AC$3*(((1+AC$5*(T-20))*$A86)^AC$4) + AC$2*$A86</f>
        <v>-2.0020305677099079</v>
      </c>
      <c r="M86" s="1">
        <f t="shared" si="31"/>
        <v>-1.777789528393521</v>
      </c>
      <c r="N86" s="1">
        <f t="shared" si="32"/>
        <v>-1.5447660193357089</v>
      </c>
      <c r="O86" s="1">
        <f t="shared" si="33"/>
        <v>-1.8482937092450897</v>
      </c>
      <c r="P86" s="1">
        <v>0</v>
      </c>
      <c r="Q86" s="1">
        <f t="shared" si="34"/>
        <v>-17.514759290401127</v>
      </c>
      <c r="R86" s="54">
        <f t="shared" si="35"/>
        <v>0</v>
      </c>
      <c r="S86" s="54"/>
      <c r="T86" s="1"/>
    </row>
    <row r="87" spans="1:20" x14ac:dyDescent="0.25">
      <c r="A87" s="1">
        <f>Calculate[[#This Row],[Freq]]</f>
        <v>3870000000</v>
      </c>
      <c r="B87">
        <v>-1.6744801864877126</v>
      </c>
      <c r="C87">
        <v>-17.704462049703213</v>
      </c>
      <c r="E87" s="1">
        <f t="shared" si="24"/>
        <v>-2.381896662608459</v>
      </c>
      <c r="F87" s="1">
        <f t="shared" si="25"/>
        <v>-2.1574518185519516</v>
      </c>
      <c r="G87" s="1">
        <f t="shared" si="26"/>
        <v>-1.9006196894273857</v>
      </c>
      <c r="H87" s="1">
        <f t="shared" si="27"/>
        <v>-2.1792039761793829</v>
      </c>
      <c r="I87" s="1">
        <f t="shared" si="28"/>
        <v>-1.9661180120310233</v>
      </c>
      <c r="J87" s="1">
        <f t="shared" si="29"/>
        <v>-1.6744801864877126</v>
      </c>
      <c r="K87" s="1">
        <f t="shared" si="30"/>
        <v>-2.368567060914518</v>
      </c>
      <c r="L87" s="1">
        <f>AC$3*(((1+AC$5*(T-20))*$A87)^AC$4) + AC$2*$A87</f>
        <v>-2.016014490726195</v>
      </c>
      <c r="M87" s="1">
        <f t="shared" si="31"/>
        <v>-1.7899718276106531</v>
      </c>
      <c r="N87" s="1">
        <f t="shared" si="32"/>
        <v>-1.5550835033689636</v>
      </c>
      <c r="O87" s="1">
        <f t="shared" si="33"/>
        <v>-1.8600835813229302</v>
      </c>
      <c r="P87" s="1">
        <v>0</v>
      </c>
      <c r="Q87" s="1">
        <f t="shared" si="34"/>
        <v>-17.704462049703213</v>
      </c>
      <c r="R87" s="54">
        <f t="shared" si="35"/>
        <v>0</v>
      </c>
      <c r="S87" s="54"/>
      <c r="T87" s="1"/>
    </row>
    <row r="88" spans="1:20" x14ac:dyDescent="0.25">
      <c r="A88" s="1">
        <f>Calculate[[#This Row],[Freq]]</f>
        <v>3915000000</v>
      </c>
      <c r="B88">
        <v>-1.6862675781831098</v>
      </c>
      <c r="C88">
        <v>-17.894070558058026</v>
      </c>
      <c r="E88" s="1">
        <f t="shared" si="24"/>
        <v>-2.3976290413469901</v>
      </c>
      <c r="F88" s="1">
        <f t="shared" si="25"/>
        <v>-2.171951684819462</v>
      </c>
      <c r="G88" s="1">
        <f t="shared" si="26"/>
        <v>-1.9144254751302439</v>
      </c>
      <c r="H88" s="1">
        <f t="shared" si="27"/>
        <v>-2.1965031081438293</v>
      </c>
      <c r="I88" s="1">
        <f t="shared" si="28"/>
        <v>-1.9781778191202548</v>
      </c>
      <c r="J88" s="1">
        <f t="shared" si="29"/>
        <v>-1.6862675781831098</v>
      </c>
      <c r="K88" s="1">
        <f t="shared" si="30"/>
        <v>-2.3897241582478532</v>
      </c>
      <c r="L88" s="1">
        <f>AC$3*(((1+AC$5*(T-20))*$A88)^AC$4) + AC$2*$A88</f>
        <v>-2.0299432611646084</v>
      </c>
      <c r="M88" s="1">
        <f t="shared" si="31"/>
        <v>-1.802103795406262</v>
      </c>
      <c r="N88" s="1">
        <f t="shared" si="32"/>
        <v>-1.5653557084343828</v>
      </c>
      <c r="O88" s="1">
        <f t="shared" si="33"/>
        <v>-1.8718160796950349</v>
      </c>
      <c r="P88" s="1">
        <v>0</v>
      </c>
      <c r="Q88" s="1">
        <f t="shared" si="34"/>
        <v>-17.894070558058026</v>
      </c>
      <c r="R88" s="54">
        <f t="shared" si="35"/>
        <v>0</v>
      </c>
      <c r="S88" s="54"/>
      <c r="T88" s="1"/>
    </row>
    <row r="89" spans="1:20" x14ac:dyDescent="0.25">
      <c r="A89" s="1">
        <f>Calculate[[#This Row],[Freq]]</f>
        <v>3960000000</v>
      </c>
      <c r="B89">
        <v>-1.6980111921576726</v>
      </c>
      <c r="C89">
        <v>-18.083586435892784</v>
      </c>
      <c r="E89" s="1">
        <f t="shared" si="24"/>
        <v>-2.4133000859079248</v>
      </c>
      <c r="F89" s="1">
        <f t="shared" si="25"/>
        <v>-2.1863912300361417</v>
      </c>
      <c r="G89" s="1">
        <f t="shared" si="26"/>
        <v>-1.9281840010051943</v>
      </c>
      <c r="H89" s="1">
        <f t="shared" si="27"/>
        <v>-2.213756427480214</v>
      </c>
      <c r="I89" s="1">
        <f t="shared" si="28"/>
        <v>-1.9901822493762884</v>
      </c>
      <c r="J89" s="1">
        <f t="shared" si="29"/>
        <v>-1.6980111921576726</v>
      </c>
      <c r="K89" s="1">
        <f t="shared" si="30"/>
        <v>-2.410844878853196</v>
      </c>
      <c r="L89" s="1">
        <f>AC$3*(((1+AC$5*(T-20))*$A89)^AC$4) + AC$2*$A89</f>
        <v>-2.043817827246269</v>
      </c>
      <c r="M89" s="1">
        <f t="shared" si="31"/>
        <v>-1.8141862971128258</v>
      </c>
      <c r="N89" s="1">
        <f t="shared" si="32"/>
        <v>-1.575583412999179</v>
      </c>
      <c r="O89" s="1">
        <f t="shared" si="33"/>
        <v>-1.8834921907696851</v>
      </c>
      <c r="P89" s="1">
        <v>0</v>
      </c>
      <c r="Q89" s="1">
        <f t="shared" si="34"/>
        <v>-18.083586435892784</v>
      </c>
      <c r="R89" s="54">
        <f t="shared" si="35"/>
        <v>0</v>
      </c>
      <c r="S89" s="54"/>
      <c r="T89" s="1"/>
    </row>
    <row r="90" spans="1:20" x14ac:dyDescent="0.25">
      <c r="A90" s="1">
        <f>Calculate[[#This Row],[Freq]]</f>
        <v>4005000000</v>
      </c>
      <c r="B90">
        <v>-1.7097117725387558</v>
      </c>
      <c r="C90">
        <v>-18.273011257727646</v>
      </c>
      <c r="E90" s="1">
        <f t="shared" si="24"/>
        <v>-2.4289108732866502</v>
      </c>
      <c r="F90" s="1">
        <f t="shared" si="25"/>
        <v>-2.20077147953047</v>
      </c>
      <c r="G90" s="1">
        <f t="shared" si="26"/>
        <v>-1.9418960703679433</v>
      </c>
      <c r="H90" s="1">
        <f t="shared" si="27"/>
        <v>-2.2309647129049499</v>
      </c>
      <c r="I90" s="1">
        <f t="shared" si="28"/>
        <v>-2.0021322751867272</v>
      </c>
      <c r="J90" s="1">
        <f t="shared" si="29"/>
        <v>-1.7097117725387558</v>
      </c>
      <c r="K90" s="1">
        <f t="shared" si="30"/>
        <v>-2.4319298410568981</v>
      </c>
      <c r="L90" s="1">
        <f>AC$3*(((1+AC$5*(T-20))*$A90)^AC$4) + AC$2*$A90</f>
        <v>-2.0576391103289775</v>
      </c>
      <c r="M90" s="1">
        <f t="shared" si="31"/>
        <v>-1.8262201735477581</v>
      </c>
      <c r="N90" s="1">
        <f t="shared" si="32"/>
        <v>-1.5857673734764142</v>
      </c>
      <c r="O90" s="1">
        <f t="shared" si="33"/>
        <v>-1.8951128730099913</v>
      </c>
      <c r="P90" s="1">
        <v>0</v>
      </c>
      <c r="Q90" s="1">
        <f t="shared" si="34"/>
        <v>-18.273011257727646</v>
      </c>
      <c r="R90" s="54">
        <f t="shared" si="35"/>
        <v>0</v>
      </c>
      <c r="S90" s="54"/>
      <c r="T90" s="1"/>
    </row>
    <row r="91" spans="1:20" x14ac:dyDescent="0.25">
      <c r="A91" s="1">
        <f>Calculate[[#This Row],[Freq]]</f>
        <v>4050000000</v>
      </c>
      <c r="B91">
        <v>-1.7213700426086489</v>
      </c>
      <c r="C91">
        <v>-18.462346553976111</v>
      </c>
      <c r="E91" s="1">
        <f t="shared" si="24"/>
        <v>-2.4444624497142033</v>
      </c>
      <c r="F91" s="1">
        <f t="shared" si="25"/>
        <v>-2.2150934299086433</v>
      </c>
      <c r="G91" s="1">
        <f t="shared" si="26"/>
        <v>-1.9555624640311022</v>
      </c>
      <c r="H91" s="1">
        <f t="shared" si="27"/>
        <v>-2.2481287213204495</v>
      </c>
      <c r="I91" s="1">
        <f t="shared" si="28"/>
        <v>-2.0140288411629421</v>
      </c>
      <c r="J91" s="1">
        <f t="shared" si="29"/>
        <v>-1.7213700426086489</v>
      </c>
      <c r="K91" s="1">
        <f t="shared" si="30"/>
        <v>-2.4529796458642794</v>
      </c>
      <c r="L91" s="1">
        <f>AC$3*(((1+AC$5*(T-20))*$A91)^AC$4) + AC$2*$A91</f>
        <v>-2.0714080059607554</v>
      </c>
      <c r="M91" s="1">
        <f t="shared" si="31"/>
        <v>-1.8382062419748517</v>
      </c>
      <c r="N91" s="1">
        <f t="shared" si="32"/>
        <v>-1.5959083250899269</v>
      </c>
      <c r="O91" s="1">
        <f t="shared" si="33"/>
        <v>-1.9066790580298627</v>
      </c>
      <c r="P91" s="1">
        <v>0</v>
      </c>
      <c r="Q91" s="1">
        <f t="shared" si="34"/>
        <v>-18.462346553976111</v>
      </c>
      <c r="R91" s="54">
        <f t="shared" si="35"/>
        <v>0</v>
      </c>
      <c r="S91" s="54"/>
      <c r="T91" s="1"/>
    </row>
    <row r="92" spans="1:20" x14ac:dyDescent="0.25">
      <c r="A92" s="1">
        <f>Calculate[[#This Row],[Freq]]</f>
        <v>4095000000</v>
      </c>
      <c r="B92">
        <v>-1.7329867056130301</v>
      </c>
      <c r="C92">
        <v>-18.651593812655634</v>
      </c>
      <c r="E92" s="1">
        <f t="shared" si="24"/>
        <v>-2.4599558318671204</v>
      </c>
      <c r="F92" s="1">
        <f t="shared" si="25"/>
        <v>-2.2293580501685319</v>
      </c>
      <c r="G92" s="1">
        <f t="shared" si="26"/>
        <v>-1.9691839411769474</v>
      </c>
      <c r="H92" s="1">
        <f t="shared" si="27"/>
        <v>-2.2652491886611585</v>
      </c>
      <c r="I92" s="1">
        <f t="shared" si="28"/>
        <v>-2.0258728652324121</v>
      </c>
      <c r="J92" s="1">
        <f t="shared" si="29"/>
        <v>-1.7329867056130301</v>
      </c>
      <c r="K92" s="1">
        <f t="shared" si="30"/>
        <v>-2.4739948776314069</v>
      </c>
      <c r="L92" s="1">
        <f>AC$3*(((1+AC$5*(T-20))*$A92)^AC$4) + AC$2*$A92</f>
        <v>-2.0851253848808491</v>
      </c>
      <c r="M92" s="1">
        <f t="shared" si="31"/>
        <v>-1.8501452970177792</v>
      </c>
      <c r="N92" s="1">
        <f t="shared" si="32"/>
        <v>-1.6060069826961365</v>
      </c>
      <c r="O92" s="1">
        <f t="shared" si="33"/>
        <v>-1.918191651635323</v>
      </c>
      <c r="P92" s="1">
        <v>0</v>
      </c>
      <c r="Q92" s="1">
        <f t="shared" si="34"/>
        <v>-18.651593812655634</v>
      </c>
      <c r="R92" s="54">
        <f t="shared" si="35"/>
        <v>0</v>
      </c>
      <c r="S92" s="54"/>
      <c r="T92" s="1"/>
    </row>
    <row r="93" spans="1:20" x14ac:dyDescent="0.25">
      <c r="A93" s="1">
        <f>Calculate[[#This Row],[Freq]]</f>
        <v>4140000000</v>
      </c>
      <c r="B93">
        <v>-1.7445624455295463</v>
      </c>
      <c r="C93">
        <v>-18.840754481013896</v>
      </c>
      <c r="E93" s="1">
        <f t="shared" si="24"/>
        <v>-2.4753920080170095</v>
      </c>
      <c r="F93" s="1">
        <f t="shared" si="25"/>
        <v>-2.2435662827587053</v>
      </c>
      <c r="G93" s="1">
        <f t="shared" si="26"/>
        <v>-1.9827612401871311</v>
      </c>
      <c r="H93" s="1">
        <f t="shared" si="27"/>
        <v>-2.2823268306978597</v>
      </c>
      <c r="I93" s="1">
        <f t="shared" si="28"/>
        <v>-2.0376652396766364</v>
      </c>
      <c r="J93" s="1">
        <f t="shared" si="29"/>
        <v>-1.7445624455295463</v>
      </c>
      <c r="K93" s="1">
        <f t="shared" si="30"/>
        <v>-2.4949761047037371</v>
      </c>
      <c r="L93" s="1">
        <f>AC$3*(((1+AC$5*(T-20))*$A93)^AC$4) + AC$2*$A93</f>
        <v>-2.0987920939713622</v>
      </c>
      <c r="M93" s="1">
        <f t="shared" si="31"/>
        <v>-1.8620381115285423</v>
      </c>
      <c r="N93" s="1">
        <f t="shared" si="32"/>
        <v>-1.6160640415653102</v>
      </c>
      <c r="O93" s="1">
        <f t="shared" si="33"/>
        <v>-1.9296515348144698</v>
      </c>
      <c r="P93" s="1">
        <v>0</v>
      </c>
      <c r="Q93" s="1">
        <f t="shared" si="34"/>
        <v>-18.840754481013896</v>
      </c>
      <c r="R93" s="54">
        <f t="shared" si="35"/>
        <v>0</v>
      </c>
      <c r="S93" s="54"/>
      <c r="T93" s="1"/>
    </row>
    <row r="94" spans="1:20" x14ac:dyDescent="0.25">
      <c r="A94" s="1">
        <f>Calculate[[#This Row],[Freq]]</f>
        <v>4185000000</v>
      </c>
      <c r="B94">
        <v>-1.7560979277988977</v>
      </c>
      <c r="C94">
        <v>-19.029829967075734</v>
      </c>
      <c r="E94" s="1">
        <f t="shared" si="24"/>
        <v>-2.4907719391233991</v>
      </c>
      <c r="F94" s="1">
        <f t="shared" si="25"/>
        <v>-2.2577190445857904</v>
      </c>
      <c r="G94" s="1">
        <f t="shared" si="26"/>
        <v>-1.9962950794319207</v>
      </c>
      <c r="H94" s="1">
        <f t="shared" si="27"/>
        <v>-2.2993623438027422</v>
      </c>
      <c r="I94" s="1">
        <f t="shared" si="28"/>
        <v>-2.0494068321178389</v>
      </c>
      <c r="J94" s="1">
        <f t="shared" si="29"/>
        <v>-1.7560979277988977</v>
      </c>
      <c r="K94" s="1">
        <f t="shared" si="30"/>
        <v>-2.5159238800236103</v>
      </c>
      <c r="L94" s="1">
        <f>AC$3*(((1+AC$5*(T-20))*$A94)^AC$4) + AC$2*$A94</f>
        <v>-2.11240895716247</v>
      </c>
      <c r="M94" s="1">
        <f t="shared" si="31"/>
        <v>-1.8738854374135518</v>
      </c>
      <c r="N94" s="1">
        <f t="shared" si="32"/>
        <v>-1.6260801781247212</v>
      </c>
      <c r="O94" s="1">
        <f t="shared" si="33"/>
        <v>-1.94105956467914</v>
      </c>
      <c r="P94" s="1">
        <v>0</v>
      </c>
      <c r="Q94" s="1">
        <f t="shared" si="34"/>
        <v>-19.029829967075734</v>
      </c>
      <c r="R94" s="54">
        <f t="shared" si="35"/>
        <v>0</v>
      </c>
      <c r="S94" s="54"/>
      <c r="T94" s="1"/>
    </row>
    <row r="95" spans="1:20" x14ac:dyDescent="0.25">
      <c r="A95" s="1">
        <f>Calculate[[#This Row],[Freq]]</f>
        <v>4230000000</v>
      </c>
      <c r="B95">
        <v>-1.7675938000206424</v>
      </c>
      <c r="C95">
        <v>-19.218821641115404</v>
      </c>
      <c r="E95" s="1">
        <f t="shared" si="24"/>
        <v>-2.5060965598733054</v>
      </c>
      <c r="F95" s="1">
        <f t="shared" si="25"/>
        <v>-2.2718172279732136</v>
      </c>
      <c r="G95" s="1">
        <f t="shared" si="26"/>
        <v>-2.0097861580213436</v>
      </c>
      <c r="H95" s="1">
        <f t="shared" si="27"/>
        <v>-2.3163564056775492</v>
      </c>
      <c r="I95" s="1">
        <f t="shared" si="28"/>
        <v>-2.0610984864575608</v>
      </c>
      <c r="J95" s="1">
        <f t="shared" si="29"/>
        <v>-1.7675938000206424</v>
      </c>
      <c r="K95" s="1">
        <f t="shared" si="30"/>
        <v>-2.5368387417084186</v>
      </c>
      <c r="L95" s="1">
        <f>AC$3*(((1+AC$5*(T-20))*$A95)^AC$4) + AC$2*$A95</f>
        <v>-2.1259767762939377</v>
      </c>
      <c r="M95" s="1">
        <f t="shared" si="31"/>
        <v>-1.8856880064198425</v>
      </c>
      <c r="N95" s="1">
        <f t="shared" si="32"/>
        <v>-1.6360560506659378</v>
      </c>
      <c r="O95" s="1">
        <f t="shared" si="33"/>
        <v>-1.9524165753611298</v>
      </c>
      <c r="P95" s="1">
        <v>0</v>
      </c>
      <c r="Q95" s="1">
        <f t="shared" si="34"/>
        <v>-19.218821641115404</v>
      </c>
      <c r="R95" s="54">
        <f t="shared" si="35"/>
        <v>0</v>
      </c>
      <c r="S95" s="54"/>
      <c r="T95" s="1"/>
    </row>
    <row r="96" spans="1:20" x14ac:dyDescent="0.25">
      <c r="A96" s="1">
        <f>Calculate[[#This Row],[Freq]]</f>
        <v>4275000000</v>
      </c>
      <c r="B96">
        <v>-1.779050692615773</v>
      </c>
      <c r="C96">
        <v>-19.407730837058551</v>
      </c>
      <c r="E96" s="1">
        <f t="shared" si="24"/>
        <v>-2.5213667796705979</v>
      </c>
      <c r="F96" s="1">
        <f t="shared" si="25"/>
        <v>-2.285861701574162</v>
      </c>
      <c r="G96" s="1">
        <f t="shared" si="26"/>
        <v>-2.0232351565204705</v>
      </c>
      <c r="H96" s="1">
        <f t="shared" si="27"/>
        <v>-2.3333096760469503</v>
      </c>
      <c r="I96" s="1">
        <f t="shared" si="28"/>
        <v>-2.0727410237699289</v>
      </c>
      <c r="J96" s="1">
        <f t="shared" si="29"/>
        <v>-1.779050692615773</v>
      </c>
      <c r="K96" s="1">
        <f t="shared" si="30"/>
        <v>-2.5577212136011696</v>
      </c>
      <c r="L96" s="1">
        <f>AC$3*(((1+AC$5*(T-20))*$A96)^AC$4) + AC$2*$A96</f>
        <v>-2.1394963319355114</v>
      </c>
      <c r="M96" s="1">
        <f t="shared" si="31"/>
        <v>-1.8974465308837434</v>
      </c>
      <c r="N96" s="1">
        <f t="shared" si="32"/>
        <v>-1.6459923000183421</v>
      </c>
      <c r="O96" s="1">
        <f t="shared" si="33"/>
        <v>-1.9637233788656179</v>
      </c>
      <c r="P96" s="1">
        <v>0</v>
      </c>
      <c r="Q96" s="1">
        <f t="shared" si="34"/>
        <v>-19.407730837058551</v>
      </c>
      <c r="R96" s="54">
        <f t="shared" si="35"/>
        <v>0</v>
      </c>
      <c r="S96" s="54"/>
      <c r="T96" s="1"/>
    </row>
    <row r="97" spans="1:20" x14ac:dyDescent="0.25">
      <c r="A97" s="1">
        <f>Calculate[[#This Row],[Freq]]</f>
        <v>4320000000</v>
      </c>
      <c r="B97">
        <v>-1.7904692194579908</v>
      </c>
      <c r="C97">
        <v>-19.596558853817935</v>
      </c>
      <c r="E97" s="1">
        <f t="shared" si="24"/>
        <v>-2.5365834835781227</v>
      </c>
      <c r="F97" s="1">
        <f t="shared" si="25"/>
        <v>-2.2998533112414123</v>
      </c>
      <c r="G97" s="1">
        <f t="shared" si="26"/>
        <v>-2.0366427376308973</v>
      </c>
      <c r="H97" s="1">
        <f t="shared" si="27"/>
        <v>-2.3502227973191623</v>
      </c>
      <c r="I97" s="1">
        <f t="shared" si="28"/>
        <v>-2.0843352431522741</v>
      </c>
      <c r="J97" s="1">
        <f t="shared" si="29"/>
        <v>-1.7904692194579908</v>
      </c>
      <c r="K97" s="1">
        <f t="shared" si="30"/>
        <v>-2.5785718057950398</v>
      </c>
      <c r="L97" s="1">
        <f>AC$3*(((1+AC$5*(T-20))*$A97)^AC$4) + AC$2*$A97</f>
        <v>-2.1529683841685401</v>
      </c>
      <c r="M97" s="1">
        <f t="shared" si="31"/>
        <v>-1.9091617044441782</v>
      </c>
      <c r="N97" s="1">
        <f t="shared" si="32"/>
        <v>-1.6558895501908251</v>
      </c>
      <c r="O97" s="1">
        <f t="shared" si="33"/>
        <v>-1.97498076588427</v>
      </c>
      <c r="P97" s="1">
        <v>0</v>
      </c>
      <c r="Q97" s="1">
        <f t="shared" si="34"/>
        <v>-19.596558853817935</v>
      </c>
      <c r="R97" s="54">
        <f t="shared" si="35"/>
        <v>0</v>
      </c>
      <c r="S97" s="54"/>
      <c r="T97" s="1"/>
    </row>
    <row r="98" spans="1:20" x14ac:dyDescent="0.25">
      <c r="A98" s="1">
        <f>Calculate[[#This Row],[Freq]]</f>
        <v>4365000000</v>
      </c>
      <c r="B98">
        <v>-1.8018499784754627</v>
      </c>
      <c r="C98">
        <v>-19.785306956566703</v>
      </c>
      <c r="E98" s="1">
        <f t="shared" ref="E98:E129" si="36">V$3*(((1+V$5*(T-20))*$A98)^V$4) + V$2*$A98</f>
        <v>-2.5517475332152912</v>
      </c>
      <c r="F98" s="1">
        <f t="shared" ref="F98:F129" si="37">W$3*(((1+W$5*(T-20))*$A98)^W$4) + W$2*$A98</f>
        <v>-2.3137928808564898</v>
      </c>
      <c r="G98" s="1">
        <f t="shared" ref="G98:G129" si="38">X$3*(((1+X$5*(T-20))*$A98)^X$4) + X$2*$A98</f>
        <v>-2.0500095468403683</v>
      </c>
      <c r="H98" s="1">
        <f t="shared" ref="H98:H129" si="39">Y$3*(((1+Y$5*(T-20))*$A98)^Y$4) + Y$2*$A98</f>
        <v>-2.3670963952156763</v>
      </c>
      <c r="I98" s="1">
        <f t="shared" ref="I98:I129" si="40">Z$3*(((1+Z$5*(T-20))*$A98)^Z$4) + Z$2*$A98</f>
        <v>-2.0958819225355376</v>
      </c>
      <c r="J98" s="1">
        <f t="shared" ref="J98:J129" si="41">AA$3*(((1+AA$5*(T-20))*$A98)^AA$4) + AA$2*$A98</f>
        <v>-1.8018499784754627</v>
      </c>
      <c r="K98" s="1">
        <f t="shared" ref="K98:K129" si="42">AB$3*(((1+AB$5*(T-20))*$A98)^AB$4) + AB$2*$A98</f>
        <v>-2.599391015133397</v>
      </c>
      <c r="L98" s="1">
        <f>AC$3*(((1+AC$5*(T-20))*$A98)^AC$4) + AC$2*$A98</f>
        <v>-2.1663936733310551</v>
      </c>
      <c r="M98" s="1">
        <f t="shared" ref="M98:M129" si="43">AD$3*(((1+AD$5*(T-20))*$A98)^AD$4) + AD$2*$A98</f>
        <v>-1.9208342027226137</v>
      </c>
      <c r="N98" s="1">
        <f t="shared" ref="N98:N129" si="44">AE$3*(((1+AE$5*(T-20))*$A98)^AE$4) + AE$2*$A98</f>
        <v>-1.6657484089834793</v>
      </c>
      <c r="O98" s="1">
        <f t="shared" ref="O98:O129" si="45">AF$3*(((1+AF$5*(T-20))*$A98)^AF$4) + AF$2*$A98</f>
        <v>-1.986189506570323</v>
      </c>
      <c r="P98" s="1">
        <v>0</v>
      </c>
      <c r="Q98" s="1">
        <f t="shared" ref="Q98:Q129" si="46">AG$3*(((1+AG$5*(T-20))*$A98)^AG$4) + AG$2*$A98</f>
        <v>-19.785306956566703</v>
      </c>
      <c r="R98" s="54">
        <f t="shared" ref="R98:R129" si="47">AH$3*(((1+AH$5*(T-20))*$A98)^AH$4) + AH$2*$A98</f>
        <v>0</v>
      </c>
      <c r="S98" s="54"/>
      <c r="T98" s="1"/>
    </row>
    <row r="99" spans="1:20" x14ac:dyDescent="0.25">
      <c r="A99" s="1">
        <f>Calculate[[#This Row],[Freq]]</f>
        <v>4410000000</v>
      </c>
      <c r="B99">
        <v>-1.8131935522247318</v>
      </c>
      <c r="C99">
        <v>-19.973976377952759</v>
      </c>
      <c r="E99" s="1">
        <f t="shared" si="36"/>
        <v>-2.5668597676137002</v>
      </c>
      <c r="F99" s="1">
        <f t="shared" si="37"/>
        <v>-2.3276812131204516</v>
      </c>
      <c r="G99" s="1">
        <f t="shared" si="38"/>
        <v>-2.0633362130423354</v>
      </c>
      <c r="H99" s="1">
        <f t="shared" si="39"/>
        <v>-2.3839310793718425</v>
      </c>
      <c r="I99" s="1">
        <f t="shared" si="40"/>
        <v>-2.1073818194567817</v>
      </c>
      <c r="J99" s="1">
        <f t="shared" si="41"/>
        <v>-1.8131935522247318</v>
      </c>
      <c r="K99" s="1">
        <f t="shared" si="42"/>
        <v>-2.620179325686689</v>
      </c>
      <c r="L99" s="1">
        <f>AC$3*(((1+AC$5*(T-20))*$A99)^AC$4) + AC$2*$A99</f>
        <v>-2.1797729207283711</v>
      </c>
      <c r="M99" s="1">
        <f t="shared" si="43"/>
        <v>-1.9324646839715418</v>
      </c>
      <c r="N99" s="1">
        <f t="shared" si="44"/>
        <v>-1.6755694685709841</v>
      </c>
      <c r="O99" s="1">
        <f t="shared" si="45"/>
        <v>-1.9973503512778021</v>
      </c>
      <c r="P99" s="1">
        <v>0</v>
      </c>
      <c r="Q99" s="1">
        <f t="shared" si="46"/>
        <v>-19.973976377952759</v>
      </c>
      <c r="R99" s="54">
        <f t="shared" si="47"/>
        <v>0</v>
      </c>
      <c r="S99" s="54"/>
      <c r="T99" s="1"/>
    </row>
    <row r="100" spans="1:20" x14ac:dyDescent="0.25">
      <c r="A100" s="1">
        <f>Calculate[[#This Row],[Freq]]</f>
        <v>4455000000</v>
      </c>
      <c r="B100">
        <v>-1.8245005084383379</v>
      </c>
      <c r="C100">
        <v>-20.162568319257467</v>
      </c>
      <c r="E100" s="1">
        <f t="shared" si="36"/>
        <v>-2.5819210040331098</v>
      </c>
      <c r="F100" s="1">
        <f t="shared" si="37"/>
        <v>-2.3415190903084531</v>
      </c>
      <c r="G100" s="1">
        <f t="shared" si="38"/>
        <v>-2.0766233491271362</v>
      </c>
      <c r="H100" s="1">
        <f t="shared" si="39"/>
        <v>-2.4007274439099495</v>
      </c>
      <c r="I100" s="1">
        <f t="shared" si="40"/>
        <v>-2.118835671795916</v>
      </c>
      <c r="J100" s="1">
        <f t="shared" si="41"/>
        <v>-1.8245005084383379</v>
      </c>
      <c r="K100" s="1">
        <f t="shared" si="42"/>
        <v>-2.6409372092074825</v>
      </c>
      <c r="L100" s="1">
        <f>AC$3*(((1+AC$5*(T-20))*$A100)^AC$4) + AC$2*$A100</f>
        <v>-2.1931068293111329</v>
      </c>
      <c r="M100" s="1">
        <f t="shared" si="43"/>
        <v>-1.9440537896932568</v>
      </c>
      <c r="N100" s="1">
        <f t="shared" si="44"/>
        <v>-1.6853533060592676</v>
      </c>
      <c r="O100" s="1">
        <f t="shared" si="45"/>
        <v>-2.0084640312668784</v>
      </c>
      <c r="P100" s="1">
        <v>0</v>
      </c>
      <c r="Q100" s="1">
        <f t="shared" si="46"/>
        <v>-20.162568319257467</v>
      </c>
      <c r="R100" s="54">
        <f t="shared" si="47"/>
        <v>0</v>
      </c>
      <c r="S100" s="54"/>
      <c r="T100" s="1"/>
    </row>
    <row r="101" spans="1:20" x14ac:dyDescent="0.25">
      <c r="A101" s="1">
        <f>Calculate[[#This Row],[Freq]]</f>
        <v>4500000000</v>
      </c>
      <c r="B101">
        <v>-1.83577140054761</v>
      </c>
      <c r="C101">
        <v>-20.35108395150186</v>
      </c>
      <c r="E101" s="1">
        <f t="shared" si="36"/>
        <v>-2.5969320387400381</v>
      </c>
      <c r="F101" s="1">
        <f t="shared" si="37"/>
        <v>-2.3553072749901021</v>
      </c>
      <c r="G101" s="1">
        <f t="shared" si="38"/>
        <v>-2.0898715525463718</v>
      </c>
      <c r="H101" s="1">
        <f t="shared" si="39"/>
        <v>-2.4174860679863164</v>
      </c>
      <c r="I101" s="1">
        <f t="shared" si="40"/>
        <v>-2.1302441984786671</v>
      </c>
      <c r="J101" s="1">
        <f t="shared" si="41"/>
        <v>-1.83577140054761</v>
      </c>
      <c r="K101" s="1">
        <f t="shared" si="42"/>
        <v>-2.6616651255648738</v>
      </c>
      <c r="L101" s="1">
        <f>AC$3*(((1+AC$5*(T-20))*$A101)^AC$4) + AC$2*$A101</f>
        <v>-2.206396084322626</v>
      </c>
      <c r="M101" s="1">
        <f t="shared" si="43"/>
        <v>-1.9556021452305792</v>
      </c>
      <c r="N101" s="1">
        <f t="shared" si="44"/>
        <v>-1.6951004840169328</v>
      </c>
      <c r="O101" s="1">
        <f t="shared" si="45"/>
        <v>-2.019531259377243</v>
      </c>
      <c r="P101" s="1">
        <v>0</v>
      </c>
      <c r="Q101" s="1">
        <f t="shared" si="46"/>
        <v>-20.35108395150186</v>
      </c>
      <c r="R101" s="54">
        <f t="shared" si="47"/>
        <v>0</v>
      </c>
      <c r="S101" s="54"/>
      <c r="T101" s="1"/>
    </row>
    <row r="102" spans="1:20" x14ac:dyDescent="0.25">
      <c r="A102" s="1">
        <f>Calculate[[#This Row],[Freq]]</f>
        <v>4545000000</v>
      </c>
      <c r="B102">
        <v>-1.8470067681819891</v>
      </c>
      <c r="C102">
        <v>-20.539524416503159</v>
      </c>
      <c r="E102" s="1">
        <f t="shared" si="36"/>
        <v>-2.6118936477510144</v>
      </c>
      <c r="F102" s="1">
        <f t="shared" si="37"/>
        <v>-2.369046510717467</v>
      </c>
      <c r="G102" s="1">
        <f t="shared" si="38"/>
        <v>-2.1030814058519431</v>
      </c>
      <c r="H102" s="1">
        <f t="shared" si="39"/>
        <v>-2.4342075163138244</v>
      </c>
      <c r="I102" s="1">
        <f t="shared" si="40"/>
        <v>-2.1416081001476384</v>
      </c>
      <c r="J102" s="1">
        <f t="shared" si="41"/>
        <v>-1.8470067681819891</v>
      </c>
      <c r="K102" s="1">
        <f t="shared" si="42"/>
        <v>-2.6823635231593967</v>
      </c>
      <c r="L102" s="1">
        <f>AC$3*(((1+AC$5*(T-20))*$A102)^AC$4) + AC$2*$A102</f>
        <v>-2.2196413539170199</v>
      </c>
      <c r="M102" s="1">
        <f t="shared" si="43"/>
        <v>-1.9671103603310576</v>
      </c>
      <c r="N102" s="1">
        <f t="shared" si="44"/>
        <v>-1.7048115509828203</v>
      </c>
      <c r="O102" s="1">
        <f t="shared" si="45"/>
        <v>-2.0305527306712507</v>
      </c>
      <c r="P102" s="1">
        <v>0</v>
      </c>
      <c r="Q102" s="1">
        <f t="shared" si="46"/>
        <v>-20.539524416503159</v>
      </c>
      <c r="R102" s="54">
        <f t="shared" si="47"/>
        <v>0</v>
      </c>
      <c r="S102" s="54"/>
      <c r="T102" s="1"/>
    </row>
    <row r="103" spans="1:20" x14ac:dyDescent="0.25">
      <c r="A103" s="1">
        <f>Calculate[[#This Row],[Freq]]</f>
        <v>4590000000</v>
      </c>
      <c r="B103">
        <v>-1.8582071376461564</v>
      </c>
      <c r="C103">
        <v>-20.727890827884362</v>
      </c>
      <c r="E103" s="1">
        <f t="shared" si="36"/>
        <v>-2.6268065875424469</v>
      </c>
      <c r="F103" s="1">
        <f t="shared" si="37"/>
        <v>-2.3827375226825138</v>
      </c>
      <c r="G103" s="1">
        <f t="shared" si="38"/>
        <v>-2.1162534772111323</v>
      </c>
      <c r="H103" s="1">
        <f t="shared" si="39"/>
        <v>-2.4508923396612241</v>
      </c>
      <c r="I103" s="1">
        <f t="shared" si="40"/>
        <v>-2.1529280598032301</v>
      </c>
      <c r="J103" s="1">
        <f t="shared" si="41"/>
        <v>-1.8582071376461564</v>
      </c>
      <c r="K103" s="1">
        <f t="shared" si="42"/>
        <v>-2.703032839319488</v>
      </c>
      <c r="L103" s="1">
        <f>AC$3*(((1+AC$5*(T-20))*$A103)^AC$4) + AC$2*$A103</f>
        <v>-2.2328432897501367</v>
      </c>
      <c r="M103" s="1">
        <f t="shared" si="43"/>
        <v>-1.9785790296860948</v>
      </c>
      <c r="N103" s="1">
        <f t="shared" si="44"/>
        <v>-1.7144870419510174</v>
      </c>
      <c r="O103" s="1">
        <f t="shared" si="45"/>
        <v>-2.041529123048484</v>
      </c>
      <c r="P103" s="1">
        <v>0</v>
      </c>
      <c r="Q103" s="1">
        <f t="shared" si="46"/>
        <v>-20.727890827884362</v>
      </c>
      <c r="R103" s="54">
        <f t="shared" si="47"/>
        <v>0</v>
      </c>
      <c r="S103" s="54"/>
      <c r="T103" s="1"/>
    </row>
    <row r="104" spans="1:20" x14ac:dyDescent="0.25">
      <c r="A104" s="1">
        <f>Calculate[[#This Row],[Freq]]</f>
        <v>4635000000</v>
      </c>
      <c r="B104">
        <v>-1.8693730223761622</v>
      </c>
      <c r="C104">
        <v>-20.916184272039356</v>
      </c>
      <c r="E104" s="1">
        <f t="shared" si="36"/>
        <v>-2.641671595728901</v>
      </c>
      <c r="F104" s="1">
        <f t="shared" si="37"/>
        <v>-2.3963810183456018</v>
      </c>
      <c r="G104" s="1">
        <f t="shared" si="38"/>
        <v>-2.1293883208990119</v>
      </c>
      <c r="H104" s="1">
        <f t="shared" si="39"/>
        <v>-2.4675410753304656</v>
      </c>
      <c r="I104" s="1">
        <f t="shared" si="40"/>
        <v>-2.1642047434160383</v>
      </c>
      <c r="J104" s="1">
        <f t="shared" si="41"/>
        <v>-1.8693730223761622</v>
      </c>
      <c r="K104" s="1">
        <f t="shared" si="42"/>
        <v>-2.7236735006805048</v>
      </c>
      <c r="L104" s="1">
        <f>AC$3*(((1+AC$5*(T-20))*$A104)^AC$4) + AC$2*$A104</f>
        <v>-2.2460025275442197</v>
      </c>
      <c r="M104" s="1">
        <f t="shared" si="43"/>
        <v>-1.9900087334463454</v>
      </c>
      <c r="N104" s="1">
        <f t="shared" si="44"/>
        <v>-1.7241274788345169</v>
      </c>
      <c r="O104" s="1">
        <f t="shared" si="45"/>
        <v>-2.052461097833258</v>
      </c>
      <c r="P104" s="1">
        <v>0</v>
      </c>
      <c r="Q104" s="1">
        <f t="shared" si="46"/>
        <v>-20.916184272039356</v>
      </c>
      <c r="R104" s="54">
        <f t="shared" si="47"/>
        <v>0</v>
      </c>
      <c r="S104" s="54"/>
      <c r="T104" s="1"/>
    </row>
    <row r="105" spans="1:20" x14ac:dyDescent="0.25">
      <c r="A105" s="1">
        <f>Calculate[[#This Row],[Freq]]</f>
        <v>4680000000</v>
      </c>
      <c r="B105">
        <v>-1.8805049233756748</v>
      </c>
      <c r="C105">
        <v>-21.104405809055994</v>
      </c>
      <c r="E105" s="1">
        <f t="shared" si="36"/>
        <v>-2.65648939171149</v>
      </c>
      <c r="F105" s="1">
        <f t="shared" si="37"/>
        <v>-2.4099776880365869</v>
      </c>
      <c r="G105" s="1">
        <f t="shared" si="38"/>
        <v>-2.1424864777693928</v>
      </c>
      <c r="H105" s="1">
        <f t="shared" si="39"/>
        <v>-2.4841542476132279</v>
      </c>
      <c r="I105" s="1">
        <f t="shared" si="40"/>
        <v>-2.1754388005122647</v>
      </c>
      <c r="J105" s="1">
        <f t="shared" si="41"/>
        <v>-1.8805049233756748</v>
      </c>
      <c r="K105" s="1">
        <f t="shared" si="42"/>
        <v>-2.7442859235472206</v>
      </c>
      <c r="L105" s="1">
        <f>AC$3*(((1+AC$5*(T-20))*$A105)^AC$4) + AC$2*$A105</f>
        <v>-2.2591196876280808</v>
      </c>
      <c r="M105" s="1">
        <f t="shared" si="43"/>
        <v>-2.0014000377146495</v>
      </c>
      <c r="N105" s="1">
        <f t="shared" si="44"/>
        <v>-1.7337333709086673</v>
      </c>
      <c r="O105" s="1">
        <f t="shared" si="45"/>
        <v>-2.0633493003365291</v>
      </c>
      <c r="P105" s="1">
        <v>0</v>
      </c>
      <c r="Q105" s="1">
        <f t="shared" si="46"/>
        <v>-21.104405809055994</v>
      </c>
      <c r="R105" s="54">
        <f t="shared" si="47"/>
        <v>0</v>
      </c>
      <c r="S105" s="54"/>
      <c r="T105" s="1"/>
    </row>
    <row r="106" spans="1:20" x14ac:dyDescent="0.25">
      <c r="A106" s="1">
        <f>Calculate[[#This Row],[Freq]]</f>
        <v>4725000000</v>
      </c>
      <c r="B106">
        <v>-1.8916033296333974</v>
      </c>
      <c r="C106">
        <v>-21.29255647359933</v>
      </c>
      <c r="E106" s="1">
        <f t="shared" si="36"/>
        <v>-2.6712606772979899</v>
      </c>
      <c r="F106" s="1">
        <f t="shared" si="37"/>
        <v>-2.4235282055299803</v>
      </c>
      <c r="G106" s="1">
        <f t="shared" si="38"/>
        <v>-2.1555484757054431</v>
      </c>
      <c r="H106" s="1">
        <f t="shared" si="39"/>
        <v>-2.5007323682277356</v>
      </c>
      <c r="I106" s="1">
        <f t="shared" si="40"/>
        <v>-2.186630864733603</v>
      </c>
      <c r="J106" s="1">
        <f t="shared" si="41"/>
        <v>-1.8916033296333974</v>
      </c>
      <c r="K106" s="1">
        <f t="shared" si="42"/>
        <v>-2.7648705142406751</v>
      </c>
      <c r="L106" s="1">
        <f>AC$3*(((1+AC$5*(T-20))*$A106)^AC$4) + AC$2*$A106</f>
        <v>-2.2721953754539372</v>
      </c>
      <c r="M106" s="1">
        <f t="shared" si="43"/>
        <v>-2.0127534950176855</v>
      </c>
      <c r="N106" s="1">
        <f t="shared" si="44"/>
        <v>-1.7433052152354831</v>
      </c>
      <c r="O106" s="1">
        <f t="shared" si="45"/>
        <v>-2.0741943603935407</v>
      </c>
      <c r="P106" s="1">
        <v>0</v>
      </c>
      <c r="Q106" s="1">
        <f t="shared" si="46"/>
        <v>-21.29255647359933</v>
      </c>
      <c r="R106" s="54">
        <f t="shared" si="47"/>
        <v>0</v>
      </c>
      <c r="S106" s="54"/>
      <c r="T106" s="1"/>
    </row>
    <row r="107" spans="1:20" x14ac:dyDescent="0.25">
      <c r="A107" s="1">
        <f>Calculate[[#This Row],[Freq]]</f>
        <v>4770000000</v>
      </c>
      <c r="B107">
        <v>-1.9026687185226345</v>
      </c>
      <c r="C107">
        <v>-21.480637275757072</v>
      </c>
      <c r="E107" s="1">
        <f t="shared" si="36"/>
        <v>-2.6859861372961249</v>
      </c>
      <c r="F107" s="1">
        <f t="shared" si="37"/>
        <v>-2.4370332285955052</v>
      </c>
      <c r="G107" s="1">
        <f t="shared" si="38"/>
        <v>-2.1685748300510355</v>
      </c>
      <c r="H107" s="1">
        <f t="shared" si="39"/>
        <v>-2.5172759367368984</v>
      </c>
      <c r="I107" s="1">
        <f t="shared" si="40"/>
        <v>-2.1977815543728974</v>
      </c>
      <c r="J107" s="1">
        <f t="shared" si="41"/>
        <v>-1.9026687185226345</v>
      </c>
      <c r="K107" s="1">
        <f t="shared" si="42"/>
        <v>-2.7854276694301907</v>
      </c>
      <c r="L107" s="1">
        <f>AC$3*(((1+AC$5*(T-20))*$A107)^AC$4) + AC$2*$A107</f>
        <v>-2.2852301820921403</v>
      </c>
      <c r="M107" s="1">
        <f t="shared" si="43"/>
        <v>-2.0240696447574589</v>
      </c>
      <c r="N107" s="1">
        <f t="shared" si="44"/>
        <v>-1.7528434970698066</v>
      </c>
      <c r="O107" s="1">
        <f t="shared" si="45"/>
        <v>-2.0849968928784794</v>
      </c>
      <c r="P107" s="1">
        <v>0</v>
      </c>
      <c r="Q107" s="1">
        <f t="shared" si="46"/>
        <v>-21.480637275757072</v>
      </c>
      <c r="R107" s="54">
        <f t="shared" si="47"/>
        <v>0</v>
      </c>
      <c r="S107" s="54"/>
      <c r="T107" s="1"/>
    </row>
    <row r="108" spans="1:20" x14ac:dyDescent="0.25">
      <c r="A108" s="1">
        <f>Calculate[[#This Row],[Freq]]</f>
        <v>4815000000</v>
      </c>
      <c r="B108">
        <v>-1.913701556183937</v>
      </c>
      <c r="C108">
        <v>-21.668649201849217</v>
      </c>
      <c r="E108" s="1">
        <f t="shared" si="36"/>
        <v>-2.7006664400814735</v>
      </c>
      <c r="F108" s="1">
        <f t="shared" si="37"/>
        <v>-2.4504933995253451</v>
      </c>
      <c r="G108" s="1">
        <f t="shared" si="38"/>
        <v>-2.1815660440238296</v>
      </c>
      <c r="H108" s="1">
        <f t="shared" si="39"/>
        <v>-2.5337854409487459</v>
      </c>
      <c r="I108" s="1">
        <f t="shared" si="40"/>
        <v>-2.2088914728868891</v>
      </c>
      <c r="J108" s="1">
        <f t="shared" si="41"/>
        <v>-1.913701556183937</v>
      </c>
      <c r="K108" s="1">
        <f t="shared" si="42"/>
        <v>-2.805957776451327</v>
      </c>
      <c r="L108" s="1">
        <f>AC$3*(((1+AC$5*(T-20))*$A108)^AC$4) + AC$2*$A108</f>
        <v>-2.298224684704961</v>
      </c>
      <c r="M108" s="1">
        <f t="shared" si="43"/>
        <v>-2.0353490136436649</v>
      </c>
      <c r="N108" s="1">
        <f t="shared" si="44"/>
        <v>-1.7623486902482712</v>
      </c>
      <c r="O108" s="1">
        <f t="shared" si="45"/>
        <v>-2.0957574981973379</v>
      </c>
      <c r="P108" s="1">
        <v>0</v>
      </c>
      <c r="Q108" s="1">
        <f t="shared" si="46"/>
        <v>-21.668649201849217</v>
      </c>
      <c r="R108" s="54">
        <f t="shared" si="47"/>
        <v>0</v>
      </c>
      <c r="S108" s="54"/>
      <c r="T108" s="1"/>
    </row>
    <row r="109" spans="1:20" x14ac:dyDescent="0.25">
      <c r="A109" s="1">
        <f>Calculate[[#This Row],[Freq]]</f>
        <v>4860000000</v>
      </c>
      <c r="B109">
        <v>-1.924702297891691</v>
      </c>
      <c r="C109">
        <v>-21.856593215203741</v>
      </c>
      <c r="E109" s="1">
        <f t="shared" si="36"/>
        <v>-2.7153022381412586</v>
      </c>
      <c r="F109" s="1">
        <f t="shared" si="37"/>
        <v>-2.4639093456392613</v>
      </c>
      <c r="G109" s="1">
        <f t="shared" si="38"/>
        <v>-2.1945226091110186</v>
      </c>
      <c r="H109" s="1">
        <f t="shared" si="39"/>
        <v>-2.5502613573000517</v>
      </c>
      <c r="I109" s="1">
        <f t="shared" si="40"/>
        <v>-2.2199612093871868</v>
      </c>
      <c r="J109" s="1">
        <f t="shared" si="41"/>
        <v>-1.924702297891691</v>
      </c>
      <c r="K109" s="1">
        <f t="shared" si="42"/>
        <v>-2.8264612136104965</v>
      </c>
      <c r="L109" s="1">
        <f>AC$3*(((1+AC$5*(T-20))*$A109)^AC$4) + AC$2*$A109</f>
        <v>-2.3111794470004856</v>
      </c>
      <c r="M109" s="1">
        <f t="shared" si="43"/>
        <v>-2.0465921161079117</v>
      </c>
      <c r="N109" s="1">
        <f t="shared" si="44"/>
        <v>-1.7718212575619436</v>
      </c>
      <c r="O109" s="1">
        <f t="shared" si="45"/>
        <v>-2.1064767627600918</v>
      </c>
      <c r="P109" s="1">
        <v>0</v>
      </c>
      <c r="Q109" s="1">
        <f t="shared" si="46"/>
        <v>-21.856593215203741</v>
      </c>
      <c r="R109" s="54">
        <f t="shared" si="47"/>
        <v>0</v>
      </c>
      <c r="S109" s="54"/>
      <c r="T109" s="1"/>
    </row>
    <row r="110" spans="1:20" x14ac:dyDescent="0.25">
      <c r="A110" s="1">
        <f>Calculate[[#This Row],[Freq]]</f>
        <v>4905000000</v>
      </c>
      <c r="B110">
        <v>-1.9356713884054648</v>
      </c>
      <c r="C110">
        <v>-22.044470256900016</v>
      </c>
      <c r="E110" s="1">
        <f t="shared" si="36"/>
        <v>-2.7298941685953237</v>
      </c>
      <c r="F110" s="1">
        <f t="shared" si="37"/>
        <v>-2.4772816797687129</v>
      </c>
      <c r="G110" s="1">
        <f t="shared" si="38"/>
        <v>-2.2074450054486237</v>
      </c>
      <c r="H110" s="1">
        <f t="shared" si="39"/>
        <v>-2.5667041512240161</v>
      </c>
      <c r="I110" s="1">
        <f t="shared" si="40"/>
        <v>-2.2309913391106453</v>
      </c>
      <c r="J110" s="1">
        <f t="shared" si="41"/>
        <v>-1.9356713884054648</v>
      </c>
      <c r="K110" s="1">
        <f t="shared" si="42"/>
        <v>-2.846938350476913</v>
      </c>
      <c r="L110" s="1">
        <f>AC$3*(((1+AC$5*(T-20))*$A110)^AC$4) + AC$2*$A110</f>
        <v>-2.3240950196676451</v>
      </c>
      <c r="M110" s="1">
        <f t="shared" si="43"/>
        <v>-2.0577994547007199</v>
      </c>
      <c r="N110" s="1">
        <f t="shared" si="44"/>
        <v>-1.7812616511134707</v>
      </c>
      <c r="O110" s="1">
        <f t="shared" si="45"/>
        <v>-2.1171552594332494</v>
      </c>
      <c r="P110" s="1">
        <v>0</v>
      </c>
      <c r="Q110" s="1">
        <f t="shared" si="46"/>
        <v>-22.044470256900016</v>
      </c>
      <c r="R110" s="54">
        <f t="shared" si="47"/>
        <v>0</v>
      </c>
      <c r="S110" s="54"/>
      <c r="T110" s="1"/>
    </row>
    <row r="111" spans="1:20" x14ac:dyDescent="0.25">
      <c r="A111" s="1">
        <f>Calculate[[#This Row],[Freq]]</f>
        <v>4950000000</v>
      </c>
      <c r="B111">
        <v>-1.9466092623068849</v>
      </c>
      <c r="C111">
        <v>-22.232281246481623</v>
      </c>
      <c r="E111" s="1">
        <f t="shared" si="36"/>
        <v>-2.7444428536953911</v>
      </c>
      <c r="F111" s="1">
        <f t="shared" si="37"/>
        <v>-2.4906110007210347</v>
      </c>
      <c r="G111" s="1">
        <f t="shared" si="38"/>
        <v>-2.2203337021851626</v>
      </c>
      <c r="H111" s="1">
        <f t="shared" si="39"/>
        <v>-2.5831142775027987</v>
      </c>
      <c r="I111" s="1">
        <f t="shared" si="40"/>
        <v>-2.2419824238701245</v>
      </c>
      <c r="J111" s="1">
        <f t="shared" si="41"/>
        <v>-1.9466092623068849</v>
      </c>
      <c r="K111" s="1">
        <f t="shared" si="42"/>
        <v>-2.8673895481625138</v>
      </c>
      <c r="L111" s="1">
        <f>AC$3*(((1+AC$5*(T-20))*$A111)^AC$4) + AC$2*$A111</f>
        <v>-2.3369719407933269</v>
      </c>
      <c r="M111" s="1">
        <f t="shared" si="43"/>
        <v>-2.0689715204721719</v>
      </c>
      <c r="N111" s="1">
        <f t="shared" si="44"/>
        <v>-1.7906703126595163</v>
      </c>
      <c r="O111" s="1">
        <f t="shared" si="45"/>
        <v>-2.1277935479737602</v>
      </c>
      <c r="P111" s="1">
        <v>0</v>
      </c>
      <c r="Q111" s="1">
        <f t="shared" si="46"/>
        <v>-22.232281246481623</v>
      </c>
      <c r="R111" s="54">
        <f t="shared" si="47"/>
        <v>0</v>
      </c>
      <c r="S111" s="54"/>
      <c r="T111" s="1"/>
    </row>
    <row r="112" spans="1:20" x14ac:dyDescent="0.25">
      <c r="A112" s="1">
        <f>Calculate[[#This Row],[Freq]]</f>
        <v>4995000000</v>
      </c>
      <c r="B112">
        <v>-1.957516344322761</v>
      </c>
      <c r="C112">
        <v>-22.420027082640051</v>
      </c>
      <c r="E112" s="1">
        <f t="shared" si="36"/>
        <v>-2.7589489013036999</v>
      </c>
      <c r="F112" s="1">
        <f t="shared" si="37"/>
        <v>-2.5038978937246723</v>
      </c>
      <c r="G112" s="1">
        <f t="shared" si="38"/>
        <v>-2.2331891578304788</v>
      </c>
      <c r="H112" s="1">
        <f t="shared" si="39"/>
        <v>-2.5994921806056626</v>
      </c>
      <c r="I112" s="1">
        <f t="shared" si="40"/>
        <v>-2.2529350124866445</v>
      </c>
      <c r="J112" s="1">
        <f t="shared" si="41"/>
        <v>-1.957516344322761</v>
      </c>
      <c r="K112" s="1">
        <f t="shared" si="42"/>
        <v>-2.8878151595904606</v>
      </c>
      <c r="L112" s="1">
        <f>AC$3*(((1+AC$5*(T-20))*$A112)^AC$4) + AC$2*$A112</f>
        <v>-2.3498107362624574</v>
      </c>
      <c r="M112" s="1">
        <f t="shared" si="43"/>
        <v>-2.0801087933370237</v>
      </c>
      <c r="N112" s="1">
        <f t="shared" si="44"/>
        <v>-1.8000476739392233</v>
      </c>
      <c r="O112" s="1">
        <f t="shared" si="45"/>
        <v>-2.1383921754452095</v>
      </c>
      <c r="P112" s="1">
        <v>0</v>
      </c>
      <c r="Q112" s="1">
        <f t="shared" si="46"/>
        <v>-22.420027082640051</v>
      </c>
      <c r="R112" s="54">
        <f t="shared" si="47"/>
        <v>0</v>
      </c>
      <c r="S112" s="54"/>
      <c r="T112" s="1"/>
    </row>
    <row r="113" spans="1:20" x14ac:dyDescent="0.25">
      <c r="A113" s="1">
        <f>Calculate[[#This Row],[Freq]]</f>
        <v>5040000000</v>
      </c>
      <c r="B113">
        <v>-1.9683930496351378</v>
      </c>
      <c r="C113">
        <v>-22.607708643870758</v>
      </c>
      <c r="E113" s="1">
        <f t="shared" si="36"/>
        <v>-2.7734129053521155</v>
      </c>
      <c r="F113" s="1">
        <f t="shared" si="37"/>
        <v>-2.5171429308563975</v>
      </c>
      <c r="G113" s="1">
        <f t="shared" si="38"/>
        <v>-2.2460118205904553</v>
      </c>
      <c r="H113" s="1">
        <f t="shared" si="39"/>
        <v>-2.6158382950134405</v>
      </c>
      <c r="I113" s="1">
        <f t="shared" si="40"/>
        <v>-2.2638496412038962</v>
      </c>
      <c r="J113" s="1">
        <f t="shared" si="41"/>
        <v>-1.9683930496351378</v>
      </c>
      <c r="K113" s="1">
        <f t="shared" si="42"/>
        <v>-2.9082155297527716</v>
      </c>
      <c r="L113" s="1">
        <f>AC$3*(((1+AC$5*(T-20))*$A113)^AC$4) + AC$2*$A113</f>
        <v>-2.3626119201419011</v>
      </c>
      <c r="M113" s="1">
        <f t="shared" si="43"/>
        <v>-2.0912117424250418</v>
      </c>
      <c r="N113" s="1">
        <f t="shared" si="44"/>
        <v>-1.8093941569893832</v>
      </c>
      <c r="O113" s="1">
        <f t="shared" si="45"/>
        <v>-2.148951676617179</v>
      </c>
      <c r="P113" s="1">
        <v>0</v>
      </c>
      <c r="Q113" s="1">
        <f t="shared" si="46"/>
        <v>-22.607708643870758</v>
      </c>
      <c r="R113" s="54">
        <f t="shared" si="47"/>
        <v>0</v>
      </c>
      <c r="S113" s="54"/>
      <c r="T113" s="1"/>
    </row>
    <row r="114" spans="1:20" x14ac:dyDescent="0.25">
      <c r="A114" s="1">
        <f>Calculate[[#This Row],[Freq]]</f>
        <v>5085000000</v>
      </c>
      <c r="B114">
        <v>-1.9792397841789193</v>
      </c>
      <c r="C114">
        <v>-22.795326789102901</v>
      </c>
      <c r="E114" s="1">
        <f t="shared" si="36"/>
        <v>-2.7878354462826129</v>
      </c>
      <c r="F114" s="1">
        <f t="shared" si="37"/>
        <v>-2.5303466714514049</v>
      </c>
      <c r="G114" s="1">
        <f t="shared" si="38"/>
        <v>-2.2588021286883095</v>
      </c>
      <c r="H114" s="1">
        <f t="shared" si="39"/>
        <v>-2.6321530455299929</v>
      </c>
      <c r="I114" s="1">
        <f t="shared" si="40"/>
        <v>-2.2747268340859454</v>
      </c>
      <c r="J114" s="1">
        <f t="shared" si="41"/>
        <v>-1.9792397841789193</v>
      </c>
      <c r="K114" s="1">
        <f t="shared" si="42"/>
        <v>-2.9285909959576344</v>
      </c>
      <c r="L114" s="1">
        <f>AC$3*(((1+AC$5*(T-20))*$A114)^AC$4) + AC$2*$A114</f>
        <v>-2.3753759950489703</v>
      </c>
      <c r="M114" s="1">
        <f t="shared" si="43"/>
        <v>-2.1022808264173043</v>
      </c>
      <c r="N114" s="1">
        <f t="shared" si="44"/>
        <v>-1.8187101744469751</v>
      </c>
      <c r="O114" s="1">
        <f t="shared" si="45"/>
        <v>-2.1594725743485981</v>
      </c>
      <c r="P114" s="1">
        <v>0</v>
      </c>
      <c r="Q114" s="1">
        <f t="shared" si="46"/>
        <v>-22.795326789102901</v>
      </c>
      <c r="R114" s="54">
        <f t="shared" si="47"/>
        <v>0</v>
      </c>
      <c r="S114" s="54"/>
      <c r="T114" s="1"/>
    </row>
    <row r="115" spans="1:20" x14ac:dyDescent="0.25">
      <c r="A115" s="1">
        <f>Calculate[[#This Row],[Freq]]</f>
        <v>5130000000</v>
      </c>
      <c r="B115">
        <v>-1.9900569449276668</v>
      </c>
      <c r="C115">
        <v>-22.982882358304099</v>
      </c>
      <c r="E115" s="1">
        <f t="shared" si="36"/>
        <v>-2.8022170914700406</v>
      </c>
      <c r="F115" s="1">
        <f t="shared" si="37"/>
        <v>-2.5435096624971085</v>
      </c>
      <c r="G115" s="1">
        <f t="shared" si="38"/>
        <v>-2.271560510673126</v>
      </c>
      <c r="H115" s="1">
        <f t="shared" si="39"/>
        <v>-2.6484368475812881</v>
      </c>
      <c r="I115" s="1">
        <f t="shared" si="40"/>
        <v>-2.2855671033989298</v>
      </c>
      <c r="J115" s="1">
        <f t="shared" si="41"/>
        <v>-1.9900569449276668</v>
      </c>
      <c r="K115" s="1">
        <f t="shared" si="42"/>
        <v>-2.9489418880668801</v>
      </c>
      <c r="L115" s="1">
        <f>AC$3*(((1+AC$5*(T-20))*$A115)^AC$4) + AC$2*$A115</f>
        <v>-2.3881034525052898</v>
      </c>
      <c r="M115" s="1">
        <f t="shared" si="43"/>
        <v>-2.113316493869128</v>
      </c>
      <c r="N115" s="1">
        <f t="shared" si="44"/>
        <v>-1.8279961298396796</v>
      </c>
      <c r="O115" s="1">
        <f t="shared" si="45"/>
        <v>-2.1699553799558564</v>
      </c>
      <c r="P115" s="1">
        <v>0</v>
      </c>
      <c r="Q115" s="1">
        <f t="shared" si="46"/>
        <v>-22.982882358304099</v>
      </c>
      <c r="R115" s="54">
        <f t="shared" si="47"/>
        <v>0</v>
      </c>
      <c r="S115" s="54"/>
      <c r="T115" s="1"/>
    </row>
    <row r="116" spans="1:20" x14ac:dyDescent="0.25">
      <c r="A116" s="1">
        <f>Calculate[[#This Row],[Freq]]</f>
        <v>5175000000</v>
      </c>
      <c r="B116">
        <v>-2.0008449201681331</v>
      </c>
      <c r="C116">
        <v>-23.170376173061292</v>
      </c>
      <c r="E116" s="1">
        <f t="shared" si="36"/>
        <v>-2.8165583956281037</v>
      </c>
      <c r="F116" s="1">
        <f t="shared" si="37"/>
        <v>-2.5566324390114255</v>
      </c>
      <c r="G116" s="1">
        <f t="shared" si="38"/>
        <v>-2.2842873857162274</v>
      </c>
      <c r="H116" s="1">
        <f t="shared" si="39"/>
        <v>-2.6646901075027012</v>
      </c>
      <c r="I116" s="1">
        <f t="shared" si="40"/>
        <v>-2.2963709499776148</v>
      </c>
      <c r="J116" s="1">
        <f t="shared" si="41"/>
        <v>-2.0008449201681331</v>
      </c>
      <c r="K116" s="1">
        <f t="shared" si="42"/>
        <v>-2.9692685287241138</v>
      </c>
      <c r="L116" s="1">
        <f>AC$3*(((1+AC$5*(T-20))*$A116)^AC$4) + AC$2*$A116</f>
        <v>-2.4007947732767221</v>
      </c>
      <c r="M116" s="1">
        <f t="shared" si="43"/>
        <v>-2.1243191835202824</v>
      </c>
      <c r="N116" s="1">
        <f t="shared" si="44"/>
        <v>-1.8372524178649501</v>
      </c>
      <c r="O116" s="1">
        <f t="shared" si="45"/>
        <v>-2.1804005935664228</v>
      </c>
      <c r="P116" s="1">
        <v>0</v>
      </c>
      <c r="Q116" s="1">
        <f t="shared" si="46"/>
        <v>-23.170376173061292</v>
      </c>
      <c r="R116" s="54">
        <f t="shared" si="47"/>
        <v>0</v>
      </c>
      <c r="S116" s="54"/>
      <c r="T116" s="1"/>
    </row>
    <row r="117" spans="1:20" x14ac:dyDescent="0.25">
      <c r="A117" s="1">
        <f>Calculate[[#This Row],[Freq]]</f>
        <v>5220000000</v>
      </c>
      <c r="B117">
        <v>-2.0116040897640866</v>
      </c>
      <c r="C117">
        <v>-23.357809037138988</v>
      </c>
      <c r="E117" s="1">
        <f t="shared" si="36"/>
        <v>-2.830859901199259</v>
      </c>
      <c r="F117" s="1">
        <f t="shared" si="37"/>
        <v>-2.5697155244062921</v>
      </c>
      <c r="G117" s="1">
        <f t="shared" si="38"/>
        <v>-2.2969831638959812</v>
      </c>
      <c r="H117" s="1">
        <f t="shared" si="39"/>
        <v>-2.6809132228150983</v>
      </c>
      <c r="I117" s="1">
        <f t="shared" si="40"/>
        <v>-2.3071388635774106</v>
      </c>
      <c r="J117" s="1">
        <f t="shared" si="41"/>
        <v>-2.0116040897640866</v>
      </c>
      <c r="K117" s="1">
        <f t="shared" si="42"/>
        <v>-2.9895712335739293</v>
      </c>
      <c r="L117" s="1">
        <f>AC$3*(((1+AC$5*(T-20))*$A117)^AC$4) + AC$2*$A117</f>
        <v>-2.4134504277000226</v>
      </c>
      <c r="M117" s="1">
        <f t="shared" si="43"/>
        <v>-2.1352893245930886</v>
      </c>
      <c r="N117" s="1">
        <f t="shared" si="44"/>
        <v>-1.8464794246581893</v>
      </c>
      <c r="O117" s="1">
        <f t="shared" si="45"/>
        <v>-2.1908087044586533</v>
      </c>
      <c r="P117" s="1">
        <v>0</v>
      </c>
      <c r="Q117" s="1">
        <f t="shared" si="46"/>
        <v>-23.357809037138988</v>
      </c>
      <c r="R117" s="54">
        <f t="shared" si="47"/>
        <v>0</v>
      </c>
      <c r="S117" s="54"/>
      <c r="T117" s="1"/>
    </row>
    <row r="118" spans="1:20" x14ac:dyDescent="0.25">
      <c r="A118" s="1">
        <f>Calculate[[#This Row],[Freq]]</f>
        <v>5265000000</v>
      </c>
      <c r="B118">
        <v>-2.0223348254099136</v>
      </c>
      <c r="C118">
        <v>-23.54518173701587</v>
      </c>
      <c r="E118" s="1">
        <f t="shared" si="36"/>
        <v>-2.845122138729423</v>
      </c>
      <c r="F118" s="1">
        <f t="shared" si="37"/>
        <v>-2.5827594308371067</v>
      </c>
      <c r="G118" s="1">
        <f t="shared" si="38"/>
        <v>-2.3096482464715766</v>
      </c>
      <c r="H118" s="1">
        <f t="shared" si="39"/>
        <v>-2.6971065824902309</v>
      </c>
      <c r="I118" s="1">
        <f t="shared" si="40"/>
        <v>-2.3178713232126933</v>
      </c>
      <c r="J118" s="1">
        <f t="shared" si="41"/>
        <v>-2.0223348254099136</v>
      </c>
      <c r="K118" s="1">
        <f t="shared" si="42"/>
        <v>-3.0098503114726443</v>
      </c>
      <c r="L118" s="1">
        <f>AC$3*(((1+AC$5*(T-20))*$A118)^AC$4) + AC$2*$A118</f>
        <v>-2.4260708759968477</v>
      </c>
      <c r="M118" s="1">
        <f t="shared" si="43"/>
        <v>-2.1462273370789786</v>
      </c>
      <c r="N118" s="1">
        <f t="shared" si="44"/>
        <v>-1.8556775280505393</v>
      </c>
      <c r="O118" s="1">
        <f t="shared" si="45"/>
        <v>-2.2011801913884428</v>
      </c>
      <c r="P118" s="1">
        <v>0</v>
      </c>
      <c r="Q118" s="1">
        <f t="shared" si="46"/>
        <v>-23.54518173701587</v>
      </c>
      <c r="R118" s="54">
        <f t="shared" si="47"/>
        <v>0</v>
      </c>
      <c r="S118" s="54"/>
      <c r="T118" s="1"/>
    </row>
    <row r="119" spans="1:20" x14ac:dyDescent="0.25">
      <c r="A119" s="1">
        <f>Calculate[[#This Row],[Freq]]</f>
        <v>5310000000</v>
      </c>
      <c r="B119">
        <v>-2.0330374908744937</v>
      </c>
      <c r="C119">
        <v>-23.732495042400828</v>
      </c>
      <c r="E119" s="1">
        <f t="shared" si="36"/>
        <v>-2.8593456272280608</v>
      </c>
      <c r="F119" s="1">
        <f t="shared" si="37"/>
        <v>-2.5957646595387565</v>
      </c>
      <c r="G119" s="1">
        <f t="shared" si="38"/>
        <v>-2.3222830261462941</v>
      </c>
      <c r="H119" s="1">
        <f t="shared" si="39"/>
        <v>-2.7132705672059405</v>
      </c>
      <c r="I119" s="1">
        <f t="shared" si="40"/>
        <v>-2.3285687974819127</v>
      </c>
      <c r="J119" s="1">
        <f t="shared" si="41"/>
        <v>-2.0330374908744937</v>
      </c>
      <c r="K119" s="1">
        <f t="shared" si="42"/>
        <v>-3.0301060646909406</v>
      </c>
      <c r="L119" s="1">
        <f>AC$3*(((1+AC$5*(T-20))*$A119)^AC$4) + AC$2*$A119</f>
        <v>-2.4386565685757073</v>
      </c>
      <c r="M119" s="1">
        <f t="shared" si="43"/>
        <v>-2.1571336320140548</v>
      </c>
      <c r="N119" s="1">
        <f t="shared" si="44"/>
        <v>-1.864847097816783</v>
      </c>
      <c r="O119" s="1">
        <f t="shared" si="45"/>
        <v>-2.211515522903345</v>
      </c>
      <c r="P119" s="1">
        <v>0</v>
      </c>
      <c r="Q119" s="1">
        <f t="shared" si="46"/>
        <v>-23.732495042400828</v>
      </c>
      <c r="R119" s="54">
        <f t="shared" si="47"/>
        <v>0</v>
      </c>
      <c r="S119" s="54"/>
      <c r="T119" s="1"/>
    </row>
    <row r="120" spans="1:20" x14ac:dyDescent="0.25">
      <c r="A120" s="1">
        <f>Calculate[[#This Row],[Freq]]</f>
        <v>5355000000</v>
      </c>
      <c r="B120">
        <v>-2.0437124422357873</v>
      </c>
      <c r="C120">
        <v>-23.919749706729302</v>
      </c>
      <c r="E120" s="1">
        <f t="shared" si="36"/>
        <v>-2.8735308745145032</v>
      </c>
      <c r="F120" s="1">
        <f t="shared" si="37"/>
        <v>-2.6087317011488627</v>
      </c>
      <c r="G120" s="1">
        <f t="shared" si="38"/>
        <v>-2.3348878873207575</v>
      </c>
      <c r="H120" s="1">
        <f t="shared" si="39"/>
        <v>-2.7294055495916592</v>
      </c>
      <c r="I120" s="1">
        <f t="shared" si="40"/>
        <v>-2.3392317448802751</v>
      </c>
      <c r="J120" s="1">
        <f t="shared" si="41"/>
        <v>-2.0437124422357873</v>
      </c>
      <c r="K120" s="1">
        <f t="shared" si="42"/>
        <v>-3.0503387891087974</v>
      </c>
      <c r="L120" s="1">
        <f>AC$3*(((1+AC$5*(T-20))*$A120)^AC$4) + AC$2*$A120</f>
        <v>-2.4512079463224343</v>
      </c>
      <c r="M120" s="1">
        <f t="shared" si="43"/>
        <v>-2.1680086117441628</v>
      </c>
      <c r="N120" s="1">
        <f t="shared" si="44"/>
        <v>-1.8739884959138071</v>
      </c>
      <c r="O120" s="1">
        <f t="shared" si="45"/>
        <v>-2.2218151576447314</v>
      </c>
      <c r="P120" s="1">
        <v>0</v>
      </c>
      <c r="Q120" s="1">
        <f t="shared" si="46"/>
        <v>-23.919749706729302</v>
      </c>
      <c r="R120" s="54">
        <f t="shared" si="47"/>
        <v>0</v>
      </c>
      <c r="S120" s="54"/>
      <c r="T120" s="1"/>
    </row>
    <row r="121" spans="1:20" x14ac:dyDescent="0.25">
      <c r="A121" s="1">
        <f>Calculate[[#This Row],[Freq]]</f>
        <v>5400000000</v>
      </c>
      <c r="B121">
        <v>-2.0543600281065766</v>
      </c>
      <c r="C121">
        <v>-24.106946467640956</v>
      </c>
      <c r="E121" s="1">
        <f t="shared" si="36"/>
        <v>-2.8876783775509907</v>
      </c>
      <c r="F121" s="1">
        <f t="shared" si="37"/>
        <v>-2.6216610360188231</v>
      </c>
      <c r="G121" s="1">
        <f t="shared" si="38"/>
        <v>-2.3474632063366254</v>
      </c>
      <c r="H121" s="1">
        <f t="shared" si="39"/>
        <v>-2.7455118944646362</v>
      </c>
      <c r="I121" s="1">
        <f t="shared" si="40"/>
        <v>-2.3498606141004359</v>
      </c>
      <c r="J121" s="1">
        <f t="shared" si="41"/>
        <v>-2.0543600281065766</v>
      </c>
      <c r="K121" s="1">
        <f t="shared" si="42"/>
        <v>-3.0705487744030675</v>
      </c>
      <c r="L121" s="1">
        <f>AC$3*(((1+AC$5*(T-20))*$A121)^AC$4) + AC$2*$A121</f>
        <v>-2.4637254408796823</v>
      </c>
      <c r="M121" s="1">
        <f t="shared" si="43"/>
        <v>-2.178852670179964</v>
      </c>
      <c r="N121" s="1">
        <f t="shared" si="44"/>
        <v>-1.8831020767100679</v>
      </c>
      <c r="O121" s="1">
        <f t="shared" si="45"/>
        <v>-2.2320795446385504</v>
      </c>
      <c r="P121" s="1">
        <v>0</v>
      </c>
      <c r="Q121" s="1">
        <f t="shared" si="46"/>
        <v>-24.106946467640956</v>
      </c>
      <c r="R121" s="54">
        <f t="shared" si="47"/>
        <v>0</v>
      </c>
      <c r="S121" s="54"/>
      <c r="T121" s="1"/>
    </row>
    <row r="122" spans="1:20" x14ac:dyDescent="0.25">
      <c r="A122" s="1">
        <f>Calculate[[#This Row],[Freq]]</f>
        <v>5445000000</v>
      </c>
      <c r="B122">
        <v>-2.0649805898517566</v>
      </c>
      <c r="C122">
        <v>-24.294086047439443</v>
      </c>
      <c r="E122" s="1">
        <f t="shared" si="36"/>
        <v>-2.901788622763144</v>
      </c>
      <c r="F122" s="1">
        <f t="shared" si="37"/>
        <v>-2.6345531345132129</v>
      </c>
      <c r="G122" s="1">
        <f t="shared" si="38"/>
        <v>-2.360009351711168</v>
      </c>
      <c r="H122" s="1">
        <f t="shared" si="39"/>
        <v>-2.7615899590573321</v>
      </c>
      <c r="I122" s="1">
        <f t="shared" si="40"/>
        <v>-2.3604558443218484</v>
      </c>
      <c r="J122" s="1">
        <f t="shared" si="41"/>
        <v>-2.0649805898517566</v>
      </c>
      <c r="K122" s="1">
        <f t="shared" si="42"/>
        <v>-3.09073630422803</v>
      </c>
      <c r="L122" s="1">
        <f>AC$3*(((1+AC$5*(T-20))*$A122)^AC$4) + AC$2*$A122</f>
        <v>-2.4762094749159718</v>
      </c>
      <c r="M122" s="1">
        <f t="shared" si="43"/>
        <v>-2.1896661930424575</v>
      </c>
      <c r="N122" s="1">
        <f t="shared" si="44"/>
        <v>-1.8921881872064681</v>
      </c>
      <c r="O122" s="1">
        <f t="shared" si="45"/>
        <v>-2.242309123575208</v>
      </c>
      <c r="P122" s="1">
        <v>0</v>
      </c>
      <c r="Q122" s="1">
        <f t="shared" si="46"/>
        <v>-24.294086047439443</v>
      </c>
      <c r="R122" s="54">
        <f t="shared" si="47"/>
        <v>0</v>
      </c>
      <c r="S122" s="54"/>
      <c r="T122" s="1"/>
    </row>
    <row r="123" spans="1:20" x14ac:dyDescent="0.25">
      <c r="A123" s="1">
        <f>Calculate[[#This Row],[Freq]]</f>
        <v>5490000000</v>
      </c>
      <c r="B123">
        <v>-2.0755744617975571</v>
      </c>
      <c r="C123">
        <v>-24.481169153535117</v>
      </c>
      <c r="E123" s="1">
        <f t="shared" si="36"/>
        <v>-2.9158620863484046</v>
      </c>
      <c r="F123" s="1">
        <f t="shared" si="37"/>
        <v>-2.6474084572980798</v>
      </c>
      <c r="G123" s="1">
        <f t="shared" si="38"/>
        <v>-2.3725266843631316</v>
      </c>
      <c r="H123" s="1">
        <f t="shared" si="39"/>
        <v>-2.7776400932363687</v>
      </c>
      <c r="I123" s="1">
        <f t="shared" si="40"/>
        <v>-2.3710178654892387</v>
      </c>
      <c r="J123" s="1">
        <f t="shared" si="41"/>
        <v>-2.0755744617975571</v>
      </c>
      <c r="K123" s="1">
        <f t="shared" si="42"/>
        <v>-3.1109016563892484</v>
      </c>
      <c r="L123" s="1">
        <f>AC$3*(((1+AC$5*(T-20))*$A123)^AC$4) + AC$2*$A123</f>
        <v>-2.4886604623847459</v>
      </c>
      <c r="M123" s="1">
        <f t="shared" si="43"/>
        <v>-2.2004495580993941</v>
      </c>
      <c r="N123" s="1">
        <f t="shared" si="44"/>
        <v>-1.9012471672490387</v>
      </c>
      <c r="O123" s="1">
        <f t="shared" si="45"/>
        <v>-2.2525043250790544</v>
      </c>
      <c r="P123" s="1">
        <v>0</v>
      </c>
      <c r="Q123" s="1">
        <f t="shared" si="46"/>
        <v>-24.481169153535117</v>
      </c>
      <c r="R123" s="54">
        <f t="shared" si="47"/>
        <v>0</v>
      </c>
      <c r="S123" s="54"/>
      <c r="T123" s="1"/>
    </row>
    <row r="124" spans="1:20" x14ac:dyDescent="0.25">
      <c r="A124" s="1">
        <f>Calculate[[#This Row],[Freq]]</f>
        <v>5535000000</v>
      </c>
      <c r="B124">
        <v>-2.08614197143307</v>
      </c>
      <c r="C124">
        <v>-24.668196478871415</v>
      </c>
      <c r="E124" s="1">
        <f t="shared" si="36"/>
        <v>-2.9298992345730208</v>
      </c>
      <c r="F124" s="1">
        <f t="shared" si="37"/>
        <v>-2.6602274556186156</v>
      </c>
      <c r="G124" s="1">
        <f t="shared" si="38"/>
        <v>-2.3850155578302923</v>
      </c>
      <c r="H124" s="1">
        <f t="shared" si="39"/>
        <v>-2.7936626397134172</v>
      </c>
      <c r="I124" s="1">
        <f t="shared" si="40"/>
        <v>-2.3815470985807514</v>
      </c>
      <c r="J124" s="1">
        <f t="shared" si="41"/>
        <v>-2.08614197143307</v>
      </c>
      <c r="K124" s="1">
        <f t="shared" si="42"/>
        <v>-3.1310451030110213</v>
      </c>
      <c r="L124" s="1">
        <f>AC$3*(((1+AC$5*(T-20))*$A124)^AC$4) + AC$2*$A124</f>
        <v>-2.5010788087738924</v>
      </c>
      <c r="M124" s="1">
        <f t="shared" si="43"/>
        <v>-2.211203135392982</v>
      </c>
      <c r="N124" s="1">
        <f t="shared" si="44"/>
        <v>-1.9102793497337869</v>
      </c>
      <c r="O124" s="1">
        <f t="shared" si="45"/>
        <v>-2.2626655709679571</v>
      </c>
      <c r="P124" s="1">
        <v>0</v>
      </c>
      <c r="Q124" s="1">
        <f t="shared" si="46"/>
        <v>-24.668196478871415</v>
      </c>
      <c r="R124" s="54">
        <f t="shared" si="47"/>
        <v>0</v>
      </c>
      <c r="S124" s="54"/>
      <c r="T124" s="1"/>
    </row>
    <row r="125" spans="1:20" x14ac:dyDescent="0.25">
      <c r="A125" s="1">
        <f>Calculate[[#This Row],[Freq]]</f>
        <v>5580000000</v>
      </c>
      <c r="B125">
        <v>-2.0966834396044121</v>
      </c>
      <c r="C125">
        <v>-24.855168702335735</v>
      </c>
      <c r="E125" s="1">
        <f t="shared" si="36"/>
        <v>-2.9439005240580167</v>
      </c>
      <c r="F125" s="1">
        <f t="shared" si="37"/>
        <v>-2.6730105715667039</v>
      </c>
      <c r="G125" s="1">
        <f t="shared" si="38"/>
        <v>-2.3974763184790677</v>
      </c>
      <c r="H125" s="1">
        <f t="shared" si="39"/>
        <v>-2.8096579342483943</v>
      </c>
      <c r="I125" s="1">
        <f t="shared" si="40"/>
        <v>-2.3920439558661406</v>
      </c>
      <c r="J125" s="1">
        <f t="shared" si="41"/>
        <v>-2.0966834396044121</v>
      </c>
      <c r="K125" s="1">
        <f t="shared" si="42"/>
        <v>-3.1511669106977243</v>
      </c>
      <c r="L125" s="1">
        <f>AC$3*(((1+AC$5*(T-20))*$A125)^AC$4) + AC$2*$A125</f>
        <v>-2.5134649113461536</v>
      </c>
      <c r="M125" s="1">
        <f t="shared" si="43"/>
        <v>-2.221927287459287</v>
      </c>
      <c r="N125" s="1">
        <f t="shared" si="44"/>
        <v>-1.919285060804071</v>
      </c>
      <c r="O125" s="1">
        <f t="shared" si="45"/>
        <v>-2.2727932745033899</v>
      </c>
      <c r="P125" s="1">
        <v>0</v>
      </c>
      <c r="Q125" s="1">
        <f t="shared" si="46"/>
        <v>-24.855168702335735</v>
      </c>
      <c r="R125" s="54">
        <f t="shared" si="47"/>
        <v>0</v>
      </c>
      <c r="S125" s="54"/>
      <c r="T125" s="1"/>
    </row>
    <row r="126" spans="1:20" x14ac:dyDescent="0.25">
      <c r="A126" s="1">
        <f>Calculate[[#This Row],[Freq]]</f>
        <v>5625000000</v>
      </c>
      <c r="B126">
        <v>-2.1071991807018597</v>
      </c>
      <c r="C126">
        <v>-25.042086489155366</v>
      </c>
      <c r="E126" s="1">
        <f t="shared" si="36"/>
        <v>-2.95786640205475</v>
      </c>
      <c r="F126" s="1">
        <f t="shared" si="37"/>
        <v>-2.6857582383387597</v>
      </c>
      <c r="G126" s="1">
        <f t="shared" si="38"/>
        <v>-2.4099093057065306</v>
      </c>
      <c r="H126" s="1">
        <f t="shared" si="39"/>
        <v>-2.825626305845288</v>
      </c>
      <c r="I126" s="1">
        <f t="shared" si="40"/>
        <v>-2.4025088411555617</v>
      </c>
      <c r="J126" s="1">
        <f t="shared" si="41"/>
        <v>-2.1071991807018597</v>
      </c>
      <c r="K126" s="1">
        <f t="shared" si="42"/>
        <v>-3.1712673406893064</v>
      </c>
      <c r="L126" s="1">
        <f>AC$3*(((1+AC$5*(T-20))*$A126)^AC$4) + AC$2*$A126</f>
        <v>-2.5258191593708266</v>
      </c>
      <c r="M126" s="1">
        <f t="shared" si="43"/>
        <v>-2.2326223695396745</v>
      </c>
      <c r="N126" s="1">
        <f t="shared" si="44"/>
        <v>-1.9282646200408187</v>
      </c>
      <c r="O126" s="1">
        <f t="shared" si="45"/>
        <v>-2.2828878406314685</v>
      </c>
      <c r="P126" s="1">
        <v>0</v>
      </c>
      <c r="Q126" s="1">
        <f t="shared" si="46"/>
        <v>-25.042086489155366</v>
      </c>
      <c r="R126" s="54">
        <f t="shared" si="47"/>
        <v>0</v>
      </c>
      <c r="S126" s="54"/>
      <c r="T126" s="1"/>
    </row>
    <row r="127" spans="1:20" x14ac:dyDescent="0.25">
      <c r="A127" s="1">
        <f>Calculate[[#This Row],[Freq]]</f>
        <v>5670000000</v>
      </c>
      <c r="B127">
        <v>-2.1176895028402569</v>
      </c>
      <c r="C127">
        <v>-25.228950491279242</v>
      </c>
      <c r="E127" s="1">
        <f t="shared" si="36"/>
        <v>-2.9717973067104282</v>
      </c>
      <c r="F127" s="1">
        <f t="shared" si="37"/>
        <v>-2.6984708804843223</v>
      </c>
      <c r="G127" s="1">
        <f t="shared" si="38"/>
        <v>-2.4223148521351714</v>
      </c>
      <c r="H127" s="1">
        <f t="shared" si="39"/>
        <v>-2.8415680769409564</v>
      </c>
      <c r="I127" s="1">
        <f t="shared" si="40"/>
        <v>-2.4129421500393007</v>
      </c>
      <c r="J127" s="1">
        <f t="shared" si="41"/>
        <v>-2.1176895028402569</v>
      </c>
      <c r="K127" s="1">
        <f t="shared" si="42"/>
        <v>-3.1913466490111997</v>
      </c>
      <c r="L127" s="1">
        <f>AC$3*(((1+AC$5*(T-20))*$A127)^AC$4) + AC$2*$A127</f>
        <v>-2.5381419343471463</v>
      </c>
      <c r="M127" s="1">
        <f t="shared" si="43"/>
        <v>-2.2432887297846666</v>
      </c>
      <c r="N127" s="1">
        <f t="shared" si="44"/>
        <v>-1.9372183406459182</v>
      </c>
      <c r="O127" s="1">
        <f t="shared" si="45"/>
        <v>-2.2929496662153244</v>
      </c>
      <c r="P127" s="1">
        <v>0</v>
      </c>
      <c r="Q127" s="1">
        <f t="shared" si="46"/>
        <v>-25.228950491279242</v>
      </c>
      <c r="R127" s="54">
        <f t="shared" si="47"/>
        <v>0</v>
      </c>
      <c r="S127" s="54"/>
      <c r="T127" s="1"/>
    </row>
    <row r="128" spans="1:20" x14ac:dyDescent="0.25">
      <c r="A128" s="1">
        <f>Calculate[[#This Row],[Freq]]</f>
        <v>5715000000</v>
      </c>
      <c r="B128">
        <v>-2.1281547080329952</v>
      </c>
      <c r="C128">
        <v>-25.415761347746059</v>
      </c>
      <c r="E128" s="1">
        <f t="shared" si="36"/>
        <v>-2.9856936673240586</v>
      </c>
      <c r="F128" s="1">
        <f t="shared" si="37"/>
        <v>-2.7111489141457765</v>
      </c>
      <c r="G128" s="1">
        <f t="shared" si="38"/>
        <v>-2.4346932838007138</v>
      </c>
      <c r="H128" s="1">
        <f t="shared" si="39"/>
        <v>-2.8574835635871931</v>
      </c>
      <c r="I128" s="1">
        <f t="shared" si="40"/>
        <v>-2.4233442701188626</v>
      </c>
      <c r="J128" s="1">
        <f t="shared" si="41"/>
        <v>-2.1281547080329952</v>
      </c>
      <c r="K128" s="1">
        <f t="shared" si="42"/>
        <v>-3.2114050866188846</v>
      </c>
      <c r="L128" s="1">
        <f>AC$3*(((1+AC$5*(T-20))*$A128)^AC$4) + AC$2*$A128</f>
        <v>-2.5504336102196956</v>
      </c>
      <c r="M128" s="1">
        <f t="shared" si="43"/>
        <v>-2.2539267094505235</v>
      </c>
      <c r="N128" s="1">
        <f t="shared" si="44"/>
        <v>-1.9461465296190685</v>
      </c>
      <c r="O128" s="1">
        <f t="shared" si="45"/>
        <v>-2.3029791402591959</v>
      </c>
      <c r="P128" s="1">
        <v>0</v>
      </c>
      <c r="Q128" s="1">
        <f t="shared" si="46"/>
        <v>-25.415761347746059</v>
      </c>
      <c r="R128" s="54">
        <f t="shared" si="47"/>
        <v>0</v>
      </c>
      <c r="S128" s="54"/>
      <c r="T128" s="1"/>
    </row>
    <row r="129" spans="1:20" x14ac:dyDescent="0.25">
      <c r="A129" s="1">
        <f>Calculate[[#This Row],[Freq]]</f>
        <v>5760000000</v>
      </c>
      <c r="B129">
        <v>-2.1385950923598385</v>
      </c>
      <c r="C129">
        <v>-25.602519685039375</v>
      </c>
      <c r="E129" s="1">
        <f t="shared" si="36"/>
        <v>-2.9995559045932696</v>
      </c>
      <c r="F129" s="1">
        <f t="shared" si="37"/>
        <v>-2.7237927472895977</v>
      </c>
      <c r="G129" s="1">
        <f t="shared" si="38"/>
        <v>-2.44704492033329</v>
      </c>
      <c r="H129" s="1">
        <f t="shared" si="39"/>
        <v>-2.8733730756263527</v>
      </c>
      <c r="I129" s="1">
        <f t="shared" si="40"/>
        <v>-2.4337155812298175</v>
      </c>
      <c r="J129" s="1">
        <f t="shared" si="41"/>
        <v>-2.1385950923598385</v>
      </c>
      <c r="K129" s="1">
        <f t="shared" si="42"/>
        <v>-3.2314428995373445</v>
      </c>
      <c r="L129" s="1">
        <f>AC$3*(((1+AC$5*(T-20))*$A129)^AC$4) + AC$2*$A129</f>
        <v>-2.5626945535862067</v>
      </c>
      <c r="M129" s="1">
        <f t="shared" si="43"/>
        <v>-2.2645366430888778</v>
      </c>
      <c r="N129" s="1">
        <f t="shared" si="44"/>
        <v>-1.9550494879283753</v>
      </c>
      <c r="O129" s="1">
        <f t="shared" si="45"/>
        <v>-2.3129766441245918</v>
      </c>
      <c r="P129" s="1">
        <v>0</v>
      </c>
      <c r="Q129" s="1">
        <f t="shared" si="46"/>
        <v>-25.602519685039375</v>
      </c>
      <c r="R129" s="54">
        <f t="shared" si="47"/>
        <v>0</v>
      </c>
      <c r="S129" s="54"/>
      <c r="T129" s="1"/>
    </row>
    <row r="130" spans="1:20" x14ac:dyDescent="0.25">
      <c r="A130" s="1">
        <f>Calculate[[#This Row],[Freq]]</f>
        <v>5805000000</v>
      </c>
      <c r="B130">
        <v>-2.1490109461288598</v>
      </c>
      <c r="C130">
        <v>-25.789226117430264</v>
      </c>
      <c r="E130" s="1">
        <f t="shared" ref="E130:E161" si="48">V$3*(((1+V$5*(T-20))*$A130)^V$4) + V$2*$A130</f>
        <v>-3.013384430852343</v>
      </c>
      <c r="F130" s="1">
        <f t="shared" ref="F130:F161" si="49">W$3*(((1+W$5*(T-20))*$A130)^W$4) + W$2*$A130</f>
        <v>-2.7364027799294846</v>
      </c>
      <c r="G130" s="1">
        <f t="shared" ref="G130:G161" si="50">X$3*(((1+X$5*(T-20))*$A130)^X$4) + X$2*$A130</f>
        <v>-2.4593700751322571</v>
      </c>
      <c r="H130" s="1">
        <f t="shared" ref="H130:H161" si="51">Y$3*(((1+Y$5*(T-20))*$A130)^Y$4) + Y$2*$A130</f>
        <v>-2.8892369168608143</v>
      </c>
      <c r="I130" s="1">
        <f t="shared" ref="I130:I161" si="52">Z$3*(((1+Z$5*(T-20))*$A130)^Z$4) + Z$2*$A130</f>
        <v>-2.4440564556567166</v>
      </c>
      <c r="J130" s="1">
        <f t="shared" ref="J130:J161" si="53">AA$3*(((1+AA$5*(T-20))*$A130)^AA$4) + AA$2*$A130</f>
        <v>-2.1490109461288598</v>
      </c>
      <c r="K130" s="1">
        <f t="shared" ref="K130:K161" si="54">AB$3*(((1+AB$5*(T-20))*$A130)^AB$4) + AB$2*$A130</f>
        <v>-3.2514603289956252</v>
      </c>
      <c r="L130" s="1">
        <f>AC$3*(((1+AC$5*(T-20))*$A130)^AC$4) + AC$2*$A130</f>
        <v>-2.5749251238980637</v>
      </c>
      <c r="M130" s="1">
        <f t="shared" ref="M130:M161" si="55">AD$3*(((1+AD$5*(T-20))*$A130)^AD$4) + AD$2*$A130</f>
        <v>-2.2751188587297113</v>
      </c>
      <c r="N130" s="1">
        <f t="shared" ref="N130:N161" si="56">AE$3*(((1+AE$5*(T-20))*$A130)^AE$4) + AE$2*$A130</f>
        <v>-1.9639275106749619</v>
      </c>
      <c r="O130" s="1">
        <f t="shared" ref="O130:O161" si="57">AF$3*(((1+AF$5*(T-20))*$A130)^AF$4) + AF$2*$A130</f>
        <v>-2.3229425517388749</v>
      </c>
      <c r="P130" s="1">
        <v>0</v>
      </c>
      <c r="Q130" s="1">
        <f t="shared" ref="Q130:Q161" si="58">AG$3*(((1+AG$5*(T-20))*$A130)^AG$4) + AG$2*$A130</f>
        <v>-25.789226117430264</v>
      </c>
      <c r="R130" s="54">
        <f t="shared" ref="R130:R161" si="59">AH$3*(((1+AH$5*(T-20))*$A130)^AH$4) + AH$2*$A130</f>
        <v>0</v>
      </c>
      <c r="S130" s="54"/>
      <c r="T130" s="1"/>
    </row>
    <row r="131" spans="1:20" x14ac:dyDescent="0.25">
      <c r="A131" s="1">
        <f>Calculate[[#This Row],[Freq]]</f>
        <v>5850000000</v>
      </c>
      <c r="B131">
        <v>-2.1594025540327406</v>
      </c>
      <c r="C131">
        <v>-25.975881247308045</v>
      </c>
      <c r="E131" s="1">
        <f t="shared" si="48"/>
        <v>-3.027179650301898</v>
      </c>
      <c r="F131" s="1">
        <f t="shared" si="49"/>
        <v>-2.7489794043417222</v>
      </c>
      <c r="G131" s="1">
        <f t="shared" si="50"/>
        <v>-2.4716690555349294</v>
      </c>
      <c r="H131" s="1">
        <f t="shared" si="51"/>
        <v>-2.9050753852165485</v>
      </c>
      <c r="I131" s="1">
        <f t="shared" si="52"/>
        <v>-2.4543672583404654</v>
      </c>
      <c r="J131" s="1">
        <f t="shared" si="53"/>
        <v>-2.1594025540327406</v>
      </c>
      <c r="K131" s="1">
        <f t="shared" si="54"/>
        <v>-3.2714576115567096</v>
      </c>
      <c r="L131" s="1">
        <f>AC$3*(((1+AC$5*(T-20))*$A131)^AC$4) + AC$2*$A131</f>
        <v>-2.5871256736538299</v>
      </c>
      <c r="M131" s="1">
        <f t="shared" si="55"/>
        <v>-2.2856736780579654</v>
      </c>
      <c r="N131" s="1">
        <f t="shared" si="56"/>
        <v>-1.9727808872518482</v>
      </c>
      <c r="O131" s="1">
        <f t="shared" si="57"/>
        <v>-2.332877229796579</v>
      </c>
      <c r="P131" s="1">
        <v>0</v>
      </c>
      <c r="Q131" s="1">
        <f t="shared" si="58"/>
        <v>-25.975881247308045</v>
      </c>
      <c r="R131" s="54">
        <f t="shared" si="59"/>
        <v>0</v>
      </c>
      <c r="S131" s="54"/>
      <c r="T131" s="1"/>
    </row>
    <row r="132" spans="1:20" x14ac:dyDescent="0.25">
      <c r="A132" s="1">
        <f>Calculate[[#This Row],[Freq]]</f>
        <v>5895000000</v>
      </c>
      <c r="B132">
        <v>-2.16977019529967</v>
      </c>
      <c r="C132">
        <v>-26.16248566549956</v>
      </c>
      <c r="E132" s="1">
        <f t="shared" si="48"/>
        <v>-3.0409419592305342</v>
      </c>
      <c r="F132" s="1">
        <f t="shared" si="49"/>
        <v>-2.7615230052731068</v>
      </c>
      <c r="G132" s="1">
        <f t="shared" si="50"/>
        <v>-2.4839421629794787</v>
      </c>
      <c r="H132" s="1">
        <f t="shared" si="51"/>
        <v>-2.9208887729010269</v>
      </c>
      <c r="I132" s="1">
        <f t="shared" si="52"/>
        <v>-2.4646483470784375</v>
      </c>
      <c r="J132" s="1">
        <f t="shared" si="53"/>
        <v>-2.16977019529967</v>
      </c>
      <c r="K132" s="1">
        <f t="shared" si="54"/>
        <v>-3.291434979242907</v>
      </c>
      <c r="L132" s="1">
        <f>AC$3*(((1+AC$5*(T-20))*$A132)^AC$4) + AC$2*$A132</f>
        <v>-2.5992965485860839</v>
      </c>
      <c r="M132" s="1">
        <f t="shared" si="55"/>
        <v>-2.2962014165840454</v>
      </c>
      <c r="N132" s="1">
        <f t="shared" si="56"/>
        <v>-1.9816099014973418</v>
      </c>
      <c r="O132" s="1">
        <f t="shared" si="57"/>
        <v>-2.3427810379537717</v>
      </c>
      <c r="P132" s="1">
        <v>0</v>
      </c>
      <c r="Q132" s="1">
        <f t="shared" si="58"/>
        <v>-26.16248566549956</v>
      </c>
      <c r="R132" s="54">
        <f t="shared" si="59"/>
        <v>0</v>
      </c>
      <c r="S132" s="54"/>
      <c r="T132" s="1"/>
    </row>
    <row r="133" spans="1:20" x14ac:dyDescent="0.25">
      <c r="A133" s="1">
        <f>Calculate[[#This Row],[Freq]]</f>
        <v>5940000000</v>
      </c>
      <c r="B133">
        <v>-2.1801141438390674</v>
      </c>
      <c r="C133">
        <v>-26.349039951577499</v>
      </c>
      <c r="E133" s="1">
        <f t="shared" si="48"/>
        <v>-3.0546717462288111</v>
      </c>
      <c r="F133" s="1">
        <f t="shared" si="49"/>
        <v>-2.774033960141733</v>
      </c>
      <c r="G133" s="1">
        <f t="shared" si="50"/>
        <v>-2.4961896931622505</v>
      </c>
      <c r="H133" s="1">
        <f t="shared" si="51"/>
        <v>-2.9366773665557231</v>
      </c>
      <c r="I133" s="1">
        <f t="shared" si="52"/>
        <v>-2.4749000727176713</v>
      </c>
      <c r="J133" s="1">
        <f t="shared" si="53"/>
        <v>-2.1801141438390674</v>
      </c>
      <c r="K133" s="1">
        <f t="shared" si="54"/>
        <v>-3.3113926596569394</v>
      </c>
      <c r="L133" s="1">
        <f>AC$3*(((1+AC$5*(T-20))*$A133)^AC$4) + AC$2*$A133</f>
        <v>-2.6114380878418553</v>
      </c>
      <c r="M133" s="1">
        <f t="shared" si="55"/>
        <v>-2.3067023838084806</v>
      </c>
      <c r="N133" s="1">
        <f t="shared" si="56"/>
        <v>-1.9904148318431674</v>
      </c>
      <c r="O133" s="1">
        <f t="shared" si="57"/>
        <v>-2.3526543290157527</v>
      </c>
      <c r="P133" s="1">
        <v>0</v>
      </c>
      <c r="Q133" s="1">
        <f t="shared" si="58"/>
        <v>-26.349039951577499</v>
      </c>
      <c r="R133" s="54">
        <f t="shared" si="59"/>
        <v>0</v>
      </c>
      <c r="S133" s="54"/>
      <c r="T133" s="1"/>
    </row>
    <row r="134" spans="1:20" x14ac:dyDescent="0.25">
      <c r="A134" s="1">
        <f>Calculate[[#This Row],[Freq]]</f>
        <v>5985000000</v>
      </c>
      <c r="B134">
        <v>-2.1904346683823501</v>
      </c>
      <c r="C134">
        <v>-26.535544674158288</v>
      </c>
      <c r="E134" s="1">
        <f t="shared" si="48"/>
        <v>-3.0683693923958355</v>
      </c>
      <c r="F134" s="1">
        <f t="shared" si="49"/>
        <v>-2.7865126392309585</v>
      </c>
      <c r="G134" s="1">
        <f t="shared" si="50"/>
        <v>-2.508411936189725</v>
      </c>
      <c r="H134" s="1">
        <f t="shared" si="51"/>
        <v>-2.9524414474034191</v>
      </c>
      <c r="I134" s="1">
        <f t="shared" si="52"/>
        <v>-2.4851227793413937</v>
      </c>
      <c r="J134" s="1">
        <f t="shared" si="53"/>
        <v>-2.1904346683823501</v>
      </c>
      <c r="K134" s="1">
        <f t="shared" si="54"/>
        <v>-3.3313308760989129</v>
      </c>
      <c r="L134" s="1">
        <f>AC$3*(((1+AC$5*(T-20))*$A134)^AC$4) + AC$2*$A134</f>
        <v>-2.6235506241569118</v>
      </c>
      <c r="M134" s="1">
        <f t="shared" si="55"/>
        <v>-2.3171768833809794</v>
      </c>
      <c r="N134" s="1">
        <f t="shared" si="56"/>
        <v>-1.999195951457557</v>
      </c>
      <c r="O134" s="1">
        <f t="shared" si="57"/>
        <v>-2.3624974491183668</v>
      </c>
      <c r="P134" s="1">
        <v>0</v>
      </c>
      <c r="Q134" s="1">
        <f t="shared" si="58"/>
        <v>-26.535544674158288</v>
      </c>
      <c r="R134" s="54">
        <f t="shared" si="59"/>
        <v>0</v>
      </c>
      <c r="S134" s="54"/>
      <c r="T134" s="1"/>
    </row>
    <row r="135" spans="1:20" x14ac:dyDescent="0.25">
      <c r="A135" s="1">
        <f>Calculate[[#This Row],[Freq]]</f>
        <v>6030000000</v>
      </c>
      <c r="B135">
        <v>-2.2007320326189452</v>
      </c>
      <c r="C135">
        <v>-26.722000391189862</v>
      </c>
      <c r="E135" s="1">
        <f t="shared" si="48"/>
        <v>-3.0820352715388308</v>
      </c>
      <c r="F135" s="1">
        <f t="shared" si="49"/>
        <v>-2.7989594058768148</v>
      </c>
      <c r="G135" s="1">
        <f t="shared" si="50"/>
        <v>-2.5206091767253502</v>
      </c>
      <c r="H135" s="1">
        <f t="shared" si="51"/>
        <v>-2.9681812913905419</v>
      </c>
      <c r="I135" s="1">
        <f t="shared" si="52"/>
        <v>-2.4953168044492009</v>
      </c>
      <c r="J135" s="1">
        <f t="shared" si="53"/>
        <v>-2.2007320326189452</v>
      </c>
      <c r="K135" s="1">
        <f t="shared" si="54"/>
        <v>-3.3512498476793331</v>
      </c>
      <c r="L135" s="1">
        <f>AC$3*(((1+AC$5*(T-20))*$A135)^AC$4) + AC$2*$A135</f>
        <v>-2.6356344840241706</v>
      </c>
      <c r="M135" s="1">
        <f t="shared" si="55"/>
        <v>-2.3276252132541178</v>
      </c>
      <c r="N135" s="1">
        <f t="shared" si="56"/>
        <v>-2.0079535283835077</v>
      </c>
      <c r="O135" s="1">
        <f t="shared" si="57"/>
        <v>-2.3723107379031907</v>
      </c>
      <c r="P135" s="1">
        <v>0</v>
      </c>
      <c r="Q135" s="1">
        <f t="shared" si="58"/>
        <v>-26.722000391189862</v>
      </c>
      <c r="R135" s="54">
        <f t="shared" si="59"/>
        <v>0</v>
      </c>
      <c r="S135" s="54"/>
      <c r="T135" s="1"/>
    </row>
    <row r="136" spans="1:20" x14ac:dyDescent="0.25">
      <c r="A136" s="1">
        <f>Calculate[[#This Row],[Freq]]</f>
        <v>6075000000</v>
      </c>
      <c r="B136">
        <v>-2.2110064953277404</v>
      </c>
      <c r="C136">
        <v>-26.908407650229805</v>
      </c>
      <c r="E136" s="1">
        <f t="shared" si="48"/>
        <v>-3.0956697503659307</v>
      </c>
      <c r="F136" s="1">
        <f t="shared" si="49"/>
        <v>-2.8113746166491316</v>
      </c>
      <c r="G136" s="1">
        <f t="shared" si="50"/>
        <v>-2.5327816941314474</v>
      </c>
      <c r="H136" s="1">
        <f t="shared" si="51"/>
        <v>-2.9838971693247247</v>
      </c>
      <c r="I136" s="1">
        <f t="shared" si="52"/>
        <v>-2.505482479131131</v>
      </c>
      <c r="J136" s="1">
        <f t="shared" si="53"/>
        <v>-2.2110064953277404</v>
      </c>
      <c r="K136" s="1">
        <f t="shared" si="54"/>
        <v>-3.3711497894283347</v>
      </c>
      <c r="L136" s="1">
        <f>AC$3*(((1+AC$5*(T-20))*$A136)^AC$4) + AC$2*$A136</f>
        <v>-2.6476899878564564</v>
      </c>
      <c r="M136" s="1">
        <f t="shared" si="55"/>
        <v>-2.3380476658318696</v>
      </c>
      <c r="N136" s="1">
        <f t="shared" si="56"/>
        <v>-2.0166878256724039</v>
      </c>
      <c r="O136" s="1">
        <f t="shared" si="57"/>
        <v>-2.3820945286868493</v>
      </c>
      <c r="P136" s="1">
        <v>0</v>
      </c>
      <c r="Q136" s="1">
        <f t="shared" si="58"/>
        <v>-26.908407650229805</v>
      </c>
      <c r="R136" s="54">
        <f t="shared" si="59"/>
        <v>0</v>
      </c>
      <c r="S136" s="54"/>
      <c r="T136" s="1"/>
    </row>
    <row r="137" spans="1:20" x14ac:dyDescent="0.25">
      <c r="A137" s="1">
        <f>Calculate[[#This Row],[Freq]]</f>
        <v>6120000000</v>
      </c>
      <c r="B137">
        <v>-2.221258310504167</v>
      </c>
      <c r="C137">
        <v>-27.094766988714234</v>
      </c>
      <c r="E137" s="1">
        <f t="shared" si="48"/>
        <v>-3.1092731886724616</v>
      </c>
      <c r="F137" s="1">
        <f t="shared" si="49"/>
        <v>-2.8237586215266415</v>
      </c>
      <c r="G137" s="1">
        <f t="shared" si="50"/>
        <v>-2.5449297626064014</v>
      </c>
      <c r="H137" s="1">
        <f t="shared" si="51"/>
        <v>-2.9995893470077934</v>
      </c>
      <c r="I137" s="1">
        <f t="shared" si="52"/>
        <v>-2.5156201282358492</v>
      </c>
      <c r="J137" s="1">
        <f t="shared" si="53"/>
        <v>-2.221258310504167</v>
      </c>
      <c r="K137" s="1">
        <f t="shared" si="54"/>
        <v>-3.3910309124012787</v>
      </c>
      <c r="L137" s="1">
        <f>AC$3*(((1+AC$5*(T-20))*$A137)^AC$4) + AC$2*$A137</f>
        <v>-2.6597174501438485</v>
      </c>
      <c r="M137" s="1">
        <f t="shared" si="55"/>
        <v>-2.3484445281131996</v>
      </c>
      <c r="N137" s="1">
        <f t="shared" si="56"/>
        <v>-2.0253991015131967</v>
      </c>
      <c r="O137" s="1">
        <f t="shared" si="57"/>
        <v>-2.3918491486246989</v>
      </c>
      <c r="P137" s="1">
        <v>0</v>
      </c>
      <c r="Q137" s="1">
        <f t="shared" si="58"/>
        <v>-27.094766988714234</v>
      </c>
      <c r="R137" s="54">
        <f t="shared" si="59"/>
        <v>0</v>
      </c>
      <c r="S137" s="54"/>
      <c r="T137" s="1"/>
    </row>
    <row r="138" spans="1:20" x14ac:dyDescent="0.25">
      <c r="A138" s="1">
        <f>Calculate[[#This Row],[Freq]]</f>
        <v>6165000000</v>
      </c>
      <c r="B138">
        <v>-2.2314877274830756</v>
      </c>
      <c r="C138">
        <v>-27.281078934217835</v>
      </c>
      <c r="E138" s="1">
        <f t="shared" si="48"/>
        <v>-3.1228459395210586</v>
      </c>
      <c r="F138" s="1">
        <f t="shared" si="49"/>
        <v>-2.8361117640662945</v>
      </c>
      <c r="G138" s="1">
        <f t="shared" si="50"/>
        <v>-2.5570536513173119</v>
      </c>
      <c r="H138" s="1">
        <f t="shared" si="51"/>
        <v>-3.0152580853643616</v>
      </c>
      <c r="I138" s="1">
        <f t="shared" si="52"/>
        <v>-2.5257300705332733</v>
      </c>
      <c r="J138" s="1">
        <f t="shared" si="53"/>
        <v>-2.2314877274830756</v>
      </c>
      <c r="K138" s="1">
        <f t="shared" si="54"/>
        <v>-3.410893423780859</v>
      </c>
      <c r="L138" s="1">
        <f>AC$3*(((1+AC$5*(T-20))*$A138)^AC$4) + AC$2*$A138</f>
        <v>-2.6717171796058286</v>
      </c>
      <c r="M138" s="1">
        <f t="shared" si="55"/>
        <v>-2.358816081830911</v>
      </c>
      <c r="N138" s="1">
        <f t="shared" si="56"/>
        <v>-2.0340876093573104</v>
      </c>
      <c r="O138" s="1">
        <f t="shared" si="57"/>
        <v>-2.4015749188691022</v>
      </c>
      <c r="P138" s="1">
        <v>0</v>
      </c>
      <c r="Q138" s="1">
        <f t="shared" si="58"/>
        <v>-27.281078934217835</v>
      </c>
      <c r="R138" s="54">
        <f t="shared" si="59"/>
        <v>0</v>
      </c>
      <c r="S138" s="54"/>
      <c r="T138" s="1"/>
    </row>
    <row r="139" spans="1:20" x14ac:dyDescent="0.25">
      <c r="A139" s="1">
        <f>Calculate[[#This Row],[Freq]]</f>
        <v>6210000000</v>
      </c>
      <c r="B139">
        <v>-2.2416949910575945</v>
      </c>
      <c r="C139">
        <v>-27.467344004705325</v>
      </c>
      <c r="E139" s="1">
        <f t="shared" si="48"/>
        <v>-3.1363883494157596</v>
      </c>
      <c r="F139" s="1">
        <f t="shared" si="49"/>
        <v>-2.8484343815670283</v>
      </c>
      <c r="G139" s="1">
        <f t="shared" si="50"/>
        <v>-2.5691536245283046</v>
      </c>
      <c r="H139" s="1">
        <f t="shared" si="51"/>
        <v>-3.0309036405662044</v>
      </c>
      <c r="I139" s="1">
        <f t="shared" si="52"/>
        <v>-2.535812618871752</v>
      </c>
      <c r="J139" s="1">
        <f t="shared" si="53"/>
        <v>-2.2416949910575945</v>
      </c>
      <c r="K139" s="1">
        <f t="shared" si="54"/>
        <v>-3.4307375269758591</v>
      </c>
      <c r="L139" s="1">
        <f>AC$3*(((1+AC$5*(T-20))*$A139)^AC$4) + AC$2*$A139</f>
        <v>-2.6836894793384398</v>
      </c>
      <c r="M139" s="1">
        <f t="shared" si="55"/>
        <v>-2.3691626035859406</v>
      </c>
      <c r="N139" s="1">
        <f t="shared" si="56"/>
        <v>-2.0427535980394609</v>
      </c>
      <c r="O139" s="1">
        <f t="shared" si="57"/>
        <v>-2.4112721547225151</v>
      </c>
      <c r="P139" s="1">
        <v>0</v>
      </c>
      <c r="Q139" s="1">
        <f t="shared" si="58"/>
        <v>-27.467344004705325</v>
      </c>
      <c r="R139" s="54">
        <f t="shared" si="59"/>
        <v>0</v>
      </c>
      <c r="S139" s="54"/>
      <c r="T139" s="1"/>
    </row>
    <row r="140" spans="1:20" x14ac:dyDescent="0.25">
      <c r="A140" s="1">
        <f>Calculate[[#This Row],[Freq]]</f>
        <v>6255000000</v>
      </c>
      <c r="B140">
        <v>-2.2518803415941093</v>
      </c>
      <c r="C140">
        <v>-27.65356270877475</v>
      </c>
      <c r="E140" s="1">
        <f t="shared" si="48"/>
        <v>-3.1499007584703969</v>
      </c>
      <c r="F140" s="1">
        <f t="shared" si="49"/>
        <v>-2.8607268052281993</v>
      </c>
      <c r="G140" s="1">
        <f t="shared" si="50"/>
        <v>-2.581229941724656</v>
      </c>
      <c r="H140" s="1">
        <f t="shared" si="51"/>
        <v>-3.0465262641525896</v>
      </c>
      <c r="I140" s="1">
        <f t="shared" si="52"/>
        <v>-2.5458680803301088</v>
      </c>
      <c r="J140" s="1">
        <f t="shared" si="53"/>
        <v>-2.2518803415941093</v>
      </c>
      <c r="K140" s="1">
        <f t="shared" si="54"/>
        <v>-3.4505634217167023</v>
      </c>
      <c r="L140" s="1">
        <f>AC$3*(((1+AC$5*(T-20))*$A140)^AC$4) + AC$2*$A140</f>
        <v>-2.6956346469566594</v>
      </c>
      <c r="M140" s="1">
        <f t="shared" si="55"/>
        <v>-2.3794843649772854</v>
      </c>
      <c r="N140" s="1">
        <f t="shared" si="56"/>
        <v>-2.0513973118945366</v>
      </c>
      <c r="O140" s="1">
        <f t="shared" si="57"/>
        <v>-2.4209411657855893</v>
      </c>
      <c r="P140" s="1">
        <v>0</v>
      </c>
      <c r="Q140" s="1">
        <f t="shared" si="58"/>
        <v>-27.65356270877475</v>
      </c>
      <c r="R140" s="54">
        <f t="shared" si="59"/>
        <v>0</v>
      </c>
      <c r="S140" s="54"/>
      <c r="T140" s="1"/>
    </row>
    <row r="141" spans="1:20" x14ac:dyDescent="0.25">
      <c r="A141" s="1">
        <f>Calculate[[#This Row],[Freq]]</f>
        <v>6300000000</v>
      </c>
      <c r="B141">
        <v>-2.262044015143533</v>
      </c>
      <c r="C141">
        <v>-27.839735545892921</v>
      </c>
      <c r="E141" s="1">
        <f t="shared" si="48"/>
        <v>-3.1633835005714905</v>
      </c>
      <c r="F141" s="1">
        <f t="shared" si="49"/>
        <v>-2.8729893603029004</v>
      </c>
      <c r="G141" s="1">
        <f t="shared" si="50"/>
        <v>-2.5932828577329157</v>
      </c>
      <c r="H141" s="1">
        <f t="shared" si="51"/>
        <v>-3.0621262031467174</v>
      </c>
      <c r="I141" s="1">
        <f t="shared" si="52"/>
        <v>-2.5558967563647057</v>
      </c>
      <c r="J141" s="1">
        <f t="shared" si="53"/>
        <v>-2.262044015143533</v>
      </c>
      <c r="K141" s="1">
        <f t="shared" si="54"/>
        <v>-3.4703713041479025</v>
      </c>
      <c r="L141" s="1">
        <f>AC$3*(((1+AC$5*(T-20))*$A141)^AC$4) + AC$2*$A141</f>
        <v>-2.7075529747321636</v>
      </c>
      <c r="M141" s="1">
        <f t="shared" si="55"/>
        <v>-2.3897816327277277</v>
      </c>
      <c r="N141" s="1">
        <f t="shared" si="56"/>
        <v>-2.0600189908707023</v>
      </c>
      <c r="O141" s="1">
        <f t="shared" si="57"/>
        <v>-2.4305822561004895</v>
      </c>
      <c r="P141" s="1">
        <v>0</v>
      </c>
      <c r="Q141" s="1">
        <f t="shared" si="58"/>
        <v>-27.839735545892921</v>
      </c>
      <c r="R141" s="54">
        <f t="shared" si="59"/>
        <v>0</v>
      </c>
      <c r="S141" s="54"/>
      <c r="T141" s="1"/>
    </row>
    <row r="142" spans="1:20" x14ac:dyDescent="0.25">
      <c r="A142" s="1">
        <f>Calculate[[#This Row],[Freq]]</f>
        <v>6345000000</v>
      </c>
      <c r="B142">
        <v>-2.2721862435490032</v>
      </c>
      <c r="C142">
        <v>-28.025863006623307</v>
      </c>
      <c r="E142" s="1">
        <f t="shared" si="48"/>
        <v>-3.1768369035358495</v>
      </c>
      <c r="F142" s="1">
        <f t="shared" si="49"/>
        <v>-2.8852223662463579</v>
      </c>
      <c r="G142" s="1">
        <f t="shared" si="50"/>
        <v>-2.6053126228371677</v>
      </c>
      <c r="H142" s="1">
        <f t="shared" si="51"/>
        <v>-3.0777037001684224</v>
      </c>
      <c r="I142" s="1">
        <f t="shared" si="52"/>
        <v>-2.5658989429517418</v>
      </c>
      <c r="J142" s="1">
        <f t="shared" si="53"/>
        <v>-2.2721862435490032</v>
      </c>
      <c r="K142" s="1">
        <f t="shared" si="54"/>
        <v>-3.4901613669175617</v>
      </c>
      <c r="L142" s="1">
        <f>AC$3*(((1+AC$5*(T-20))*$A142)^AC$4) + AC$2*$A142</f>
        <v>-2.71944474972668</v>
      </c>
      <c r="M142" s="1">
        <f t="shared" si="55"/>
        <v>-2.4000546688055251</v>
      </c>
      <c r="N142" s="1">
        <f t="shared" si="56"/>
        <v>-2.0686188706388768</v>
      </c>
      <c r="O142" s="1">
        <f t="shared" si="57"/>
        <v>-2.4401957242896146</v>
      </c>
      <c r="P142" s="1">
        <v>0</v>
      </c>
      <c r="Q142" s="1">
        <f t="shared" si="58"/>
        <v>-28.025863006623307</v>
      </c>
      <c r="R142" s="54">
        <f t="shared" si="59"/>
        <v>0</v>
      </c>
      <c r="S142" s="54"/>
      <c r="T142" s="1"/>
    </row>
    <row r="143" spans="1:20" x14ac:dyDescent="0.25">
      <c r="A143" s="1">
        <f>Calculate[[#This Row],[Freq]]</f>
        <v>6390000000</v>
      </c>
      <c r="B143">
        <v>-2.2823072545501484</v>
      </c>
      <c r="C143">
        <v>-28.211945572846645</v>
      </c>
      <c r="E143" s="1">
        <f t="shared" si="48"/>
        <v>-3.1902612892630815</v>
      </c>
      <c r="F143" s="1">
        <f t="shared" si="49"/>
        <v>-2.8974261368595968</v>
      </c>
      <c r="G143" s="1">
        <f t="shared" si="50"/>
        <v>-2.6173194828915922</v>
      </c>
      <c r="H143" s="1">
        <f t="shared" si="51"/>
        <v>-3.0932589935432899</v>
      </c>
      <c r="I143" s="1">
        <f t="shared" si="52"/>
        <v>-2.5758749307249484</v>
      </c>
      <c r="J143" s="1">
        <f t="shared" si="53"/>
        <v>-2.2823072545501484</v>
      </c>
      <c r="K143" s="1">
        <f t="shared" si="54"/>
        <v>-3.5099337992640027</v>
      </c>
      <c r="L143" s="1">
        <f>AC$3*(((1+AC$5*(T-20))*$A143)^AC$4) + AC$2*$A143</f>
        <v>-2.7313102539210838</v>
      </c>
      <c r="M143" s="1">
        <f t="shared" si="55"/>
        <v>-2.4103037305422279</v>
      </c>
      <c r="N143" s="1">
        <f t="shared" si="56"/>
        <v>-2.0771971826987201</v>
      </c>
      <c r="O143" s="1">
        <f t="shared" si="57"/>
        <v>-2.4497818636898927</v>
      </c>
      <c r="P143" s="1">
        <v>0</v>
      </c>
      <c r="Q143" s="1">
        <f t="shared" si="58"/>
        <v>-28.211945572846645</v>
      </c>
      <c r="R143" s="54">
        <f t="shared" si="59"/>
        <v>0</v>
      </c>
      <c r="S143" s="54"/>
      <c r="T143" s="1"/>
    </row>
    <row r="144" spans="1:20" x14ac:dyDescent="0.25">
      <c r="A144" s="1">
        <f>Calculate[[#This Row],[Freq]]</f>
        <v>6435000000</v>
      </c>
      <c r="B144">
        <v>-2.2924072718840542</v>
      </c>
      <c r="C144">
        <v>-28.397983717974569</v>
      </c>
      <c r="E144" s="1">
        <f t="shared" si="48"/>
        <v>-3.2036569738832656</v>
      </c>
      <c r="F144" s="1">
        <f t="shared" si="49"/>
        <v>-2.9096009804285647</v>
      </c>
      <c r="G144" s="1">
        <f t="shared" si="50"/>
        <v>-2.6293036794294622</v>
      </c>
      <c r="H144" s="1">
        <f t="shared" si="51"/>
        <v>-3.1087923174083123</v>
      </c>
      <c r="I144" s="1">
        <f t="shared" si="52"/>
        <v>-2.5858250051089184</v>
      </c>
      <c r="J144" s="1">
        <f t="shared" si="53"/>
        <v>-2.2924072718840542</v>
      </c>
      <c r="K144" s="1">
        <f t="shared" si="54"/>
        <v>-3.5296887870996709</v>
      </c>
      <c r="L144" s="1">
        <f>AC$3*(((1+AC$5*(T-20))*$A144)^AC$4) + AC$2*$A144</f>
        <v>-2.7431497643404157</v>
      </c>
      <c r="M144" s="1">
        <f t="shared" si="55"/>
        <v>-2.4205290707467624</v>
      </c>
      <c r="N144" s="1">
        <f t="shared" si="56"/>
        <v>-2.0857541544812661</v>
      </c>
      <c r="O144" s="1">
        <f t="shared" si="57"/>
        <v>-2.4593409624828322</v>
      </c>
      <c r="P144" s="1">
        <v>0</v>
      </c>
      <c r="Q144" s="1">
        <f t="shared" si="58"/>
        <v>-28.397983717974569</v>
      </c>
      <c r="R144" s="54">
        <f t="shared" si="59"/>
        <v>0</v>
      </c>
      <c r="S144" s="54"/>
      <c r="T144" s="1"/>
    </row>
    <row r="145" spans="1:20" x14ac:dyDescent="0.25">
      <c r="A145" s="1">
        <f>Calculate[[#This Row],[Freq]]</f>
        <v>6480000000</v>
      </c>
      <c r="B145">
        <v>-2.3024865153830638</v>
      </c>
      <c r="C145">
        <v>-28.583977907156559</v>
      </c>
      <c r="E145" s="1">
        <f t="shared" si="48"/>
        <v>-3.2170242678998795</v>
      </c>
      <c r="F145" s="1">
        <f t="shared" si="49"/>
        <v>-2.9217471998588875</v>
      </c>
      <c r="G145" s="1">
        <f t="shared" si="50"/>
        <v>-2.6412654497687207</v>
      </c>
      <c r="H145" s="1">
        <f t="shared" si="51"/>
        <v>-3.124303901814236</v>
      </c>
      <c r="I145" s="1">
        <f t="shared" si="52"/>
        <v>-2.5957494464481505</v>
      </c>
      <c r="J145" s="1">
        <f t="shared" si="53"/>
        <v>-2.3024865153830638</v>
      </c>
      <c r="K145" s="1">
        <f t="shared" si="54"/>
        <v>-3.5494265130923983</v>
      </c>
      <c r="L145" s="1">
        <f>AC$3*(((1+AC$5*(T-20))*$A145)^AC$4) + AC$2*$A145</f>
        <v>-2.7549635531749681</v>
      </c>
      <c r="M145" s="1">
        <f t="shared" si="55"/>
        <v>-2.4307309378159401</v>
      </c>
      <c r="N145" s="1">
        <f t="shared" si="56"/>
        <v>-2.0942900094483385</v>
      </c>
      <c r="O145" s="1">
        <f t="shared" si="57"/>
        <v>-2.4688733038204895</v>
      </c>
      <c r="P145" s="1">
        <v>0</v>
      </c>
      <c r="Q145" s="1">
        <f t="shared" si="58"/>
        <v>-28.583977907156559</v>
      </c>
      <c r="R145" s="54">
        <f t="shared" si="59"/>
        <v>0</v>
      </c>
      <c r="S145" s="54"/>
      <c r="T145" s="1"/>
    </row>
    <row r="146" spans="1:20" x14ac:dyDescent="0.25">
      <c r="A146" s="1">
        <f>Calculate[[#This Row],[Freq]]</f>
        <v>6525000000</v>
      </c>
      <c r="B146">
        <v>-2.3125452010695189</v>
      </c>
      <c r="C146">
        <v>-28.769928597480419</v>
      </c>
      <c r="E146" s="1">
        <f t="shared" si="48"/>
        <v>-3.2303634763282894</v>
      </c>
      <c r="F146" s="1">
        <f t="shared" si="49"/>
        <v>-2.9338650928064141</v>
      </c>
      <c r="G146" s="1">
        <f t="shared" si="50"/>
        <v>-2.6532050271142604</v>
      </c>
      <c r="H146" s="1">
        <f t="shared" si="51"/>
        <v>-3.1397939728247071</v>
      </c>
      <c r="I146" s="1">
        <f t="shared" si="52"/>
        <v>-2.6056485301320884</v>
      </c>
      <c r="J146" s="1">
        <f t="shared" si="53"/>
        <v>-2.3125452010695189</v>
      </c>
      <c r="K146" s="1">
        <f t="shared" si="54"/>
        <v>-3.5691471567441271</v>
      </c>
      <c r="L146" s="1">
        <f>AC$3*(((1+AC$5*(T-20))*$A146)^AC$4) + AC$2*$A146</f>
        <v>-2.7667518878976001</v>
      </c>
      <c r="M146" s="1">
        <f t="shared" si="55"/>
        <v>-2.4409095758415074</v>
      </c>
      <c r="N146" s="1">
        <f t="shared" si="56"/>
        <v>-2.1028049671888547</v>
      </c>
      <c r="O146" s="1">
        <f t="shared" si="57"/>
        <v>-2.4783791659475014</v>
      </c>
      <c r="P146" s="1">
        <v>0</v>
      </c>
      <c r="Q146" s="1">
        <f t="shared" si="58"/>
        <v>-28.769928597480419</v>
      </c>
      <c r="R146" s="54">
        <f t="shared" si="59"/>
        <v>0</v>
      </c>
      <c r="S146" s="54"/>
      <c r="T146" s="1"/>
    </row>
    <row r="147" spans="1:20" x14ac:dyDescent="0.25">
      <c r="A147" s="1">
        <f>Calculate[[#This Row],[Freq]]</f>
        <v>6570000000</v>
      </c>
      <c r="B147">
        <v>-2.3225835412475702</v>
      </c>
      <c r="C147">
        <v>-28.955836238166512</v>
      </c>
      <c r="E147" s="1">
        <f t="shared" si="48"/>
        <v>-3.2436748988298247</v>
      </c>
      <c r="F147" s="1">
        <f t="shared" si="49"/>
        <v>-2.9459549518037207</v>
      </c>
      <c r="G147" s="1">
        <f t="shared" si="50"/>
        <v>-2.6651226406570361</v>
      </c>
      <c r="H147" s="1">
        <f t="shared" si="51"/>
        <v>-3.1552627526123489</v>
      </c>
      <c r="I147" s="1">
        <f t="shared" si="52"/>
        <v>-2.6155225267161737</v>
      </c>
      <c r="J147" s="1">
        <f t="shared" si="53"/>
        <v>-2.3225835412475702</v>
      </c>
      <c r="K147" s="1">
        <f t="shared" si="54"/>
        <v>-3.5888508944672024</v>
      </c>
      <c r="L147" s="1">
        <f>AC$3*(((1+AC$5*(T-20))*$A147)^AC$4) + AC$2*$A147</f>
        <v>-2.778515031377407</v>
      </c>
      <c r="M147" s="1">
        <f t="shared" si="55"/>
        <v>-2.45106522471389</v>
      </c>
      <c r="N147" s="1">
        <f t="shared" si="56"/>
        <v>-2.1112992435121538</v>
      </c>
      <c r="O147" s="1">
        <f t="shared" si="57"/>
        <v>-2.4878588223193407</v>
      </c>
      <c r="P147" s="1">
        <v>0</v>
      </c>
      <c r="Q147" s="1">
        <f t="shared" si="58"/>
        <v>-28.955836238166512</v>
      </c>
      <c r="R147" s="54">
        <f t="shared" si="59"/>
        <v>0</v>
      </c>
      <c r="S147" s="54"/>
      <c r="T147" s="1"/>
    </row>
    <row r="148" spans="1:20" x14ac:dyDescent="0.25">
      <c r="A148" s="1">
        <f>Calculate[[#This Row],[Freq]]</f>
        <v>6615000000</v>
      </c>
      <c r="B148">
        <v>-2.3326017445921634</v>
      </c>
      <c r="C148">
        <v>-29.141701270756073</v>
      </c>
      <c r="E148" s="1">
        <f t="shared" si="48"/>
        <v>-3.2569588298417469</v>
      </c>
      <c r="F148" s="1">
        <f t="shared" si="49"/>
        <v>-2.9580170643827248</v>
      </c>
      <c r="G148" s="1">
        <f t="shared" si="50"/>
        <v>-2.6770185156701292</v>
      </c>
      <c r="H148" s="1">
        <f t="shared" si="51"/>
        <v>-3.1707104595518851</v>
      </c>
      <c r="I148" s="1">
        <f t="shared" si="52"/>
        <v>-2.6253717020391876</v>
      </c>
      <c r="J148" s="1">
        <f t="shared" si="53"/>
        <v>-2.3326017445921634</v>
      </c>
      <c r="K148" s="1">
        <f t="shared" si="54"/>
        <v>-3.6085378996583106</v>
      </c>
      <c r="L148" s="1">
        <f>AC$3*(((1+AC$5*(T-20))*$A148)^AC$4) + AC$2*$A148</f>
        <v>-2.7902532419899058</v>
      </c>
      <c r="M148" s="1">
        <f t="shared" si="55"/>
        <v>-2.4611981202227362</v>
      </c>
      <c r="N148" s="1">
        <f t="shared" si="56"/>
        <v>-2.1197730505384511</v>
      </c>
      <c r="O148" s="1">
        <f t="shared" si="57"/>
        <v>-2.4973125417169304</v>
      </c>
      <c r="P148" s="1">
        <v>0</v>
      </c>
      <c r="Q148" s="1">
        <f t="shared" si="58"/>
        <v>-29.141701270756073</v>
      </c>
      <c r="R148" s="54">
        <f t="shared" si="59"/>
        <v>0</v>
      </c>
      <c r="S148" s="54"/>
      <c r="T148" s="1"/>
    </row>
    <row r="149" spans="1:20" x14ac:dyDescent="0.25">
      <c r="A149" s="1">
        <f>Calculate[[#This Row],[Freq]]</f>
        <v>6660000000</v>
      </c>
      <c r="B149">
        <v>-2.3426000162353038</v>
      </c>
      <c r="C149">
        <v>-29.327524129293717</v>
      </c>
      <c r="E149" s="1">
        <f t="shared" si="48"/>
        <v>-3.2702155587031716</v>
      </c>
      <c r="F149" s="1">
        <f t="shared" si="49"/>
        <v>-2.9700517131935484</v>
      </c>
      <c r="G149" s="1">
        <f t="shared" si="50"/>
        <v>-2.6888928736018705</v>
      </c>
      <c r="H149" s="1">
        <f t="shared" si="51"/>
        <v>-3.1861373083104132</v>
      </c>
      <c r="I149" s="1">
        <f t="shared" si="52"/>
        <v>-2.6351963173369484</v>
      </c>
      <c r="J149" s="1">
        <f t="shared" si="53"/>
        <v>-2.3426000162353038</v>
      </c>
      <c r="K149" s="1">
        <f t="shared" si="54"/>
        <v>-3.6282083427701615</v>
      </c>
      <c r="L149" s="1">
        <f>AC$3*(((1+AC$5*(T-20))*$A149)^AC$4) + AC$2*$A149</f>
        <v>-2.8019667737238421</v>
      </c>
      <c r="M149" s="1">
        <f t="shared" si="55"/>
        <v>-2.4713084941543952</v>
      </c>
      <c r="N149" s="1">
        <f t="shared" si="56"/>
        <v>-2.1282265967865266</v>
      </c>
      <c r="O149" s="1">
        <f t="shared" si="57"/>
        <v>-2.5067405883577583</v>
      </c>
      <c r="P149" s="1">
        <v>0</v>
      </c>
      <c r="Q149" s="1">
        <f t="shared" si="58"/>
        <v>-29.327524129293717</v>
      </c>
      <c r="R149" s="54">
        <f t="shared" si="59"/>
        <v>0</v>
      </c>
      <c r="S149" s="54"/>
      <c r="T149" s="1"/>
    </row>
    <row r="150" spans="1:20" x14ac:dyDescent="0.25">
      <c r="A150" s="1">
        <f>Calculate[[#This Row],[Freq]]</f>
        <v>6705000000</v>
      </c>
      <c r="B150">
        <v>-2.3525785578497032</v>
      </c>
      <c r="C150">
        <v>-29.513305240504458</v>
      </c>
      <c r="E150" s="1">
        <f t="shared" si="48"/>
        <v>-3.2834453697771209</v>
      </c>
      <c r="F150" s="1">
        <f t="shared" si="49"/>
        <v>-2.9820591761197734</v>
      </c>
      <c r="G150" s="1">
        <f t="shared" si="50"/>
        <v>-2.7007459321661447</v>
      </c>
      <c r="H150" s="1">
        <f t="shared" si="51"/>
        <v>-3.2015435099349396</v>
      </c>
      <c r="I150" s="1">
        <f t="shared" si="52"/>
        <v>-2.6449966293525002</v>
      </c>
      <c r="J150" s="1">
        <f t="shared" si="53"/>
        <v>-2.3525785578497032</v>
      </c>
      <c r="K150" s="1">
        <f t="shared" si="54"/>
        <v>-3.6478623913809942</v>
      </c>
      <c r="L150" s="1">
        <f>AC$3*(((1+AC$5*(T-20))*$A150)^AC$4) + AC$2*$A150</f>
        <v>-2.8136558762847597</v>
      </c>
      <c r="M150" s="1">
        <f t="shared" si="55"/>
        <v>-2.4813965743864292</v>
      </c>
      <c r="N150" s="1">
        <f t="shared" si="56"/>
        <v>-2.1366600872587518</v>
      </c>
      <c r="O150" s="1">
        <f t="shared" si="57"/>
        <v>-2.5161432220036142</v>
      </c>
      <c r="P150" s="1">
        <v>0</v>
      </c>
      <c r="Q150" s="1">
        <f t="shared" si="58"/>
        <v>-29.513305240504458</v>
      </c>
      <c r="R150" s="54">
        <f t="shared" si="59"/>
        <v>0</v>
      </c>
      <c r="S150" s="54"/>
      <c r="T150" s="1"/>
    </row>
    <row r="151" spans="1:20" x14ac:dyDescent="0.25">
      <c r="A151" s="1">
        <f>Calculate[[#This Row],[Freq]]</f>
        <v>6750000000</v>
      </c>
      <c r="B151">
        <v>-2.3625375677299032</v>
      </c>
      <c r="C151">
        <v>-29.699045023965333</v>
      </c>
      <c r="E151" s="1">
        <f t="shared" si="48"/>
        <v>-3.2966485425688634</v>
      </c>
      <c r="F151" s="1">
        <f t="shared" si="49"/>
        <v>-2.9940397263902225</v>
      </c>
      <c r="G151" s="1">
        <f t="shared" si="50"/>
        <v>-2.7125779054299652</v>
      </c>
      <c r="H151" s="1">
        <f t="shared" si="51"/>
        <v>-3.216929271937274</v>
      </c>
      <c r="I151" s="1">
        <f t="shared" si="52"/>
        <v>-2.6547728904429704</v>
      </c>
      <c r="J151" s="1">
        <f t="shared" si="53"/>
        <v>-2.3625375677299032</v>
      </c>
      <c r="K151" s="1">
        <f t="shared" si="54"/>
        <v>-3.6675002102619869</v>
      </c>
      <c r="L151" s="1">
        <f>AC$3*(((1+AC$5*(T-20))*$A151)^AC$4) + AC$2*$A151</f>
        <v>-2.8253207951954464</v>
      </c>
      <c r="M151" s="1">
        <f t="shared" si="55"/>
        <v>-2.4914625849792791</v>
      </c>
      <c r="N151" s="1">
        <f t="shared" si="56"/>
        <v>-2.1450737235235557</v>
      </c>
      <c r="O151" s="1">
        <f t="shared" si="57"/>
        <v>-2.5255206980650851</v>
      </c>
      <c r="P151" s="1">
        <v>0</v>
      </c>
      <c r="Q151" s="1">
        <f t="shared" si="58"/>
        <v>-29.699045023965333</v>
      </c>
      <c r="R151" s="54">
        <f t="shared" si="59"/>
        <v>0</v>
      </c>
      <c r="S151" s="54"/>
      <c r="T151" s="1"/>
    </row>
    <row r="152" spans="1:20" x14ac:dyDescent="0.25">
      <c r="A152" s="1">
        <f>Calculate[[#This Row],[Freq]]</f>
        <v>6795000000</v>
      </c>
      <c r="B152">
        <v>-2.3724772408709716</v>
      </c>
      <c r="C152">
        <v>-29.884743892271931</v>
      </c>
      <c r="E152" s="1">
        <f t="shared" si="48"/>
        <v>-3.3098253518407059</v>
      </c>
      <c r="F152" s="1">
        <f t="shared" si="49"/>
        <v>-3.0059936326873942</v>
      </c>
      <c r="G152" s="1">
        <f t="shared" si="50"/>
        <v>-2.7243890038984273</v>
      </c>
      <c r="H152" s="1">
        <f t="shared" si="51"/>
        <v>-3.2322947983763841</v>
      </c>
      <c r="I152" s="1">
        <f t="shared" si="52"/>
        <v>-2.6645253486831981</v>
      </c>
      <c r="J152" s="1">
        <f t="shared" si="53"/>
        <v>-2.3724772408709716</v>
      </c>
      <c r="K152" s="1">
        <f t="shared" si="54"/>
        <v>-3.6871219614426458</v>
      </c>
      <c r="L152" s="1">
        <f>AC$3*(((1+AC$5*(T-20))*$A152)^AC$4) + AC$2*$A152</f>
        <v>-2.8369617718933742</v>
      </c>
      <c r="M152" s="1">
        <f t="shared" si="55"/>
        <v>-2.5015067462651874</v>
      </c>
      <c r="N152" s="1">
        <f t="shared" si="56"/>
        <v>-2.1534677037954166</v>
      </c>
      <c r="O152" s="1">
        <f t="shared" si="57"/>
        <v>-2.5348732677029133</v>
      </c>
      <c r="P152" s="1">
        <v>0</v>
      </c>
      <c r="Q152" s="1">
        <f t="shared" si="58"/>
        <v>-29.884743892271931</v>
      </c>
      <c r="R152" s="54">
        <f t="shared" si="59"/>
        <v>0</v>
      </c>
      <c r="S152" s="54"/>
      <c r="T152" s="1"/>
    </row>
    <row r="153" spans="1:20" x14ac:dyDescent="0.25">
      <c r="A153" s="1">
        <f>Calculate[[#This Row],[Freq]]</f>
        <v>6840000000</v>
      </c>
      <c r="B153">
        <v>-2.3823977690448546</v>
      </c>
      <c r="C153">
        <v>-30.070402251199944</v>
      </c>
      <c r="E153" s="1">
        <f t="shared" si="48"/>
        <v>-3.3229760677232631</v>
      </c>
      <c r="F153" s="1">
        <f t="shared" si="49"/>
        <v>-3.0179211592526678</v>
      </c>
      <c r="G153" s="1">
        <f t="shared" si="50"/>
        <v>-2.7361794345971377</v>
      </c>
      <c r="H153" s="1">
        <f t="shared" si="51"/>
        <v>-3.247640289938297</v>
      </c>
      <c r="I153" s="1">
        <f t="shared" si="52"/>
        <v>-2.6742542479662084</v>
      </c>
      <c r="J153" s="1">
        <f t="shared" si="53"/>
        <v>-2.3823977690448546</v>
      </c>
      <c r="K153" s="1">
        <f t="shared" si="54"/>
        <v>-3.7067278042742537</v>
      </c>
      <c r="L153" s="1">
        <f>AC$3*(((1+AC$5*(T-20))*$A153)^AC$4) + AC$2*$A153</f>
        <v>-2.848579043825235</v>
      </c>
      <c r="M153" s="1">
        <f t="shared" si="55"/>
        <v>-2.5115292749344702</v>
      </c>
      <c r="N153" s="1">
        <f t="shared" si="56"/>
        <v>-2.1618422230124792</v>
      </c>
      <c r="O153" s="1">
        <f t="shared" si="57"/>
        <v>-2.544201177926344</v>
      </c>
      <c r="P153" s="1">
        <v>0</v>
      </c>
      <c r="Q153" s="1">
        <f t="shared" si="58"/>
        <v>-30.070402251199944</v>
      </c>
      <c r="R153" s="54">
        <f t="shared" si="59"/>
        <v>0</v>
      </c>
      <c r="S153" s="54"/>
      <c r="T153" s="1"/>
    </row>
    <row r="154" spans="1:20" x14ac:dyDescent="0.25">
      <c r="A154" s="1">
        <f>Calculate[[#This Row],[Freq]]</f>
        <v>6885000000</v>
      </c>
      <c r="B154">
        <v>-2.3922993408744748</v>
      </c>
      <c r="C154">
        <v>-30.256020499861965</v>
      </c>
      <c r="E154" s="1">
        <f t="shared" si="48"/>
        <v>-3.3361009558234467</v>
      </c>
      <c r="F154" s="1">
        <f t="shared" si="49"/>
        <v>-3.0298225659884008</v>
      </c>
      <c r="G154" s="1">
        <f t="shared" si="50"/>
        <v>-2.7479494011522023</v>
      </c>
      <c r="H154" s="1">
        <f t="shared" si="51"/>
        <v>-3.2629659440136392</v>
      </c>
      <c r="I154" s="1">
        <f t="shared" si="52"/>
        <v>-2.6839598281007038</v>
      </c>
      <c r="J154" s="1">
        <f t="shared" si="53"/>
        <v>-2.3922993408744748</v>
      </c>
      <c r="K154" s="1">
        <f t="shared" si="54"/>
        <v>-3.7263178954914369</v>
      </c>
      <c r="L154" s="1">
        <f>AC$3*(((1+AC$5*(T-20))*$A154)^AC$4) + AC$2*$A154</f>
        <v>-2.860172844538686</v>
      </c>
      <c r="M154" s="1">
        <f t="shared" si="55"/>
        <v>-2.5215303841192434</v>
      </c>
      <c r="N154" s="1">
        <f t="shared" si="56"/>
        <v>-2.17019747291187</v>
      </c>
      <c r="O154" s="1">
        <f t="shared" si="57"/>
        <v>-2.553504671688565</v>
      </c>
      <c r="P154" s="1">
        <v>0</v>
      </c>
      <c r="Q154" s="1">
        <f t="shared" si="58"/>
        <v>-30.256020499861965</v>
      </c>
      <c r="R154" s="54">
        <f t="shared" si="59"/>
        <v>0</v>
      </c>
      <c r="S154" s="54"/>
      <c r="T154" s="1"/>
    </row>
    <row r="155" spans="1:20" x14ac:dyDescent="0.25">
      <c r="A155" s="1">
        <f>Calculate[[#This Row],[Freq]]</f>
        <v>6930000000</v>
      </c>
      <c r="B155">
        <v>-2.4021821419056497</v>
      </c>
      <c r="C155">
        <v>-30.441599030859646</v>
      </c>
      <c r="E155" s="1">
        <f t="shared" si="48"/>
        <v>-3.3492002773292597</v>
      </c>
      <c r="F155" s="1">
        <f t="shared" si="49"/>
        <v>-3.041698108557028</v>
      </c>
      <c r="G155" s="1">
        <f t="shared" si="50"/>
        <v>-2.7596991038678684</v>
      </c>
      <c r="H155" s="1">
        <f t="shared" si="51"/>
        <v>-3.2782719547729018</v>
      </c>
      <c r="I155" s="1">
        <f t="shared" si="52"/>
        <v>-2.693642324905686</v>
      </c>
      <c r="J155" s="1">
        <f t="shared" si="53"/>
        <v>-2.4021821419056497</v>
      </c>
      <c r="K155" s="1">
        <f t="shared" si="54"/>
        <v>-3.745892389271928</v>
      </c>
      <c r="L155" s="1">
        <f>AC$3*(((1+AC$5*(T-20))*$A155)^AC$4) + AC$2*$A155</f>
        <v>-2.8717434037714011</v>
      </c>
      <c r="M155" s="1">
        <f t="shared" si="55"/>
        <v>-2.5315102834746877</v>
      </c>
      <c r="N155" s="1">
        <f t="shared" si="56"/>
        <v>-2.1785336421028103</v>
      </c>
      <c r="O155" s="1">
        <f t="shared" si="57"/>
        <v>-2.562783987979341</v>
      </c>
      <c r="P155" s="1">
        <v>0</v>
      </c>
      <c r="Q155" s="1">
        <f t="shared" si="58"/>
        <v>-30.441599030859646</v>
      </c>
      <c r="R155" s="54">
        <f t="shared" si="59"/>
        <v>0</v>
      </c>
      <c r="S155" s="54"/>
      <c r="T155" s="1"/>
    </row>
    <row r="156" spans="1:20" x14ac:dyDescent="0.25">
      <c r="A156" s="1">
        <f>Calculate[[#This Row],[Freq]]</f>
        <v>6975000000</v>
      </c>
      <c r="B156">
        <v>-2.4120463546769164</v>
      </c>
      <c r="C156">
        <v>-30.627138230431449</v>
      </c>
      <c r="E156" s="1">
        <f t="shared" si="48"/>
        <v>-3.3622742891114639</v>
      </c>
      <c r="F156" s="1">
        <f t="shared" si="49"/>
        <v>-3.0535480384772713</v>
      </c>
      <c r="G156" s="1">
        <f t="shared" si="50"/>
        <v>-2.7714287398019017</v>
      </c>
      <c r="H156" s="1">
        <f t="shared" si="51"/>
        <v>-3.2935585132395082</v>
      </c>
      <c r="I156" s="1">
        <f t="shared" si="52"/>
        <v>-2.7033019703022445</v>
      </c>
      <c r="J156" s="1">
        <f t="shared" si="53"/>
        <v>-2.4120463546769164</v>
      </c>
      <c r="K156" s="1">
        <f t="shared" si="54"/>
        <v>-3.7654514372945855</v>
      </c>
      <c r="L156" s="1">
        <f>AC$3*(((1+AC$5*(T-20))*$A156)^AC$4) + AC$2*$A156</f>
        <v>-2.8832909475375206</v>
      </c>
      <c r="M156" s="1">
        <f t="shared" si="55"/>
        <v>-2.541469179257942</v>
      </c>
      <c r="N156" s="1">
        <f t="shared" si="56"/>
        <v>-2.1868509161375873</v>
      </c>
      <c r="O156" s="1">
        <f t="shared" si="57"/>
        <v>-2.5720393619149502</v>
      </c>
      <c r="P156" s="1">
        <v>0</v>
      </c>
      <c r="Q156" s="1">
        <f t="shared" si="58"/>
        <v>-30.627138230431449</v>
      </c>
      <c r="R156" s="54">
        <f t="shared" si="59"/>
        <v>0</v>
      </c>
      <c r="S156" s="54"/>
      <c r="T156" s="1"/>
    </row>
    <row r="157" spans="1:20" x14ac:dyDescent="0.25">
      <c r="A157" s="1">
        <f>Calculate[[#This Row],[Freq]]</f>
        <v>7020000000</v>
      </c>
      <c r="B157">
        <v>-2.4218921587873288</v>
      </c>
      <c r="C157">
        <v>-30.812638478596092</v>
      </c>
      <c r="E157" s="1">
        <f t="shared" si="48"/>
        <v>-3.3753232438222946</v>
      </c>
      <c r="F157" s="1">
        <f t="shared" si="49"/>
        <v>-3.0653726032175568</v>
      </c>
      <c r="G157" s="1">
        <f t="shared" si="50"/>
        <v>-2.783138502838777</v>
      </c>
      <c r="H157" s="1">
        <f t="shared" si="51"/>
        <v>-3.3088258073607637</v>
      </c>
      <c r="I157" s="1">
        <f t="shared" si="52"/>
        <v>-2.712938992402687</v>
      </c>
      <c r="J157" s="1">
        <f t="shared" si="53"/>
        <v>-2.4218921587873288</v>
      </c>
      <c r="K157" s="1">
        <f t="shared" si="54"/>
        <v>-3.7849951887957287</v>
      </c>
      <c r="L157" s="1">
        <f>AC$3*(((1+AC$5*(T-20))*$A157)^AC$4) + AC$2*$A157</f>
        <v>-2.8948156982116</v>
      </c>
      <c r="M157" s="1">
        <f t="shared" si="55"/>
        <v>-2.5514072744047169</v>
      </c>
      <c r="N157" s="1">
        <f t="shared" si="56"/>
        <v>-2.1951494775804758</v>
      </c>
      <c r="O157" s="1">
        <f t="shared" si="57"/>
        <v>-2.5812710248255102</v>
      </c>
      <c r="P157" s="1">
        <v>0</v>
      </c>
      <c r="Q157" s="1">
        <f t="shared" si="58"/>
        <v>-30.812638478596092</v>
      </c>
      <c r="R157" s="54">
        <f t="shared" si="59"/>
        <v>0</v>
      </c>
      <c r="S157" s="54"/>
      <c r="T157" s="1"/>
    </row>
    <row r="158" spans="1:20" x14ac:dyDescent="0.25">
      <c r="A158" s="1">
        <f>Calculate[[#This Row],[Freq]]</f>
        <v>7065000000</v>
      </c>
      <c r="B158">
        <v>-2.4317197309623038</v>
      </c>
      <c r="C158">
        <v>-30.998100149291911</v>
      </c>
      <c r="E158" s="1">
        <f t="shared" si="48"/>
        <v>-3.3883473899912855</v>
      </c>
      <c r="F158" s="1">
        <f t="shared" si="49"/>
        <v>-3.0771720462867433</v>
      </c>
      <c r="G158" s="1">
        <f t="shared" si="50"/>
        <v>-2.7948285837607596</v>
      </c>
      <c r="H158" s="1">
        <f t="shared" si="51"/>
        <v>-3.3240740220767626</v>
      </c>
      <c r="I158" s="1">
        <f t="shared" si="52"/>
        <v>-2.7225536155970507</v>
      </c>
      <c r="J158" s="1">
        <f t="shared" si="53"/>
        <v>-2.4317197309623038</v>
      </c>
      <c r="K158" s="1">
        <f t="shared" si="54"/>
        <v>-3.8045237906238532</v>
      </c>
      <c r="L158" s="1">
        <f>AC$3*(((1+AC$5*(T-20))*$A158)^AC$4) + AC$2*$A158</f>
        <v>-2.9063178746101368</v>
      </c>
      <c r="M158" s="1">
        <f t="shared" si="55"/>
        <v>-2.56132476860369</v>
      </c>
      <c r="N158" s="1">
        <f t="shared" si="56"/>
        <v>-2.2034295060746678</v>
      </c>
      <c r="O158" s="1">
        <f t="shared" si="57"/>
        <v>-2.590479204339788</v>
      </c>
      <c r="P158" s="1">
        <v>0</v>
      </c>
      <c r="Q158" s="1">
        <f t="shared" si="58"/>
        <v>-30.998100149291911</v>
      </c>
      <c r="R158" s="54">
        <f t="shared" si="59"/>
        <v>0</v>
      </c>
      <c r="S158" s="54"/>
      <c r="T158" s="1"/>
    </row>
    <row r="159" spans="1:20" x14ac:dyDescent="0.25">
      <c r="A159" s="1">
        <f>Calculate[[#This Row],[Freq]]</f>
        <v>7110000000</v>
      </c>
      <c r="B159">
        <v>-2.4415292451175841</v>
      </c>
      <c r="C159">
        <v>-31.183523610512143</v>
      </c>
      <c r="E159" s="1">
        <f t="shared" si="48"/>
        <v>-3.40134697211833</v>
      </c>
      <c r="F159" s="1">
        <f t="shared" si="49"/>
        <v>-3.0889466073222565</v>
      </c>
      <c r="G159" s="1">
        <f t="shared" si="50"/>
        <v>-2.8064991703169584</v>
      </c>
      <c r="H159" s="1">
        <f t="shared" si="51"/>
        <v>-3.3393033393873219</v>
      </c>
      <c r="I159" s="1">
        <f t="shared" si="52"/>
        <v>-2.7321460606371319</v>
      </c>
      <c r="J159" s="1">
        <f t="shared" si="53"/>
        <v>-2.4415292451175841</v>
      </c>
      <c r="K159" s="1">
        <f t="shared" si="54"/>
        <v>-3.824037387292778</v>
      </c>
      <c r="L159" s="1">
        <f>AC$3*(((1+AC$5*(T-20))*$A159)^AC$4) + AC$2*$A159</f>
        <v>-2.917797692070768</v>
      </c>
      <c r="M159" s="1">
        <f t="shared" si="55"/>
        <v>-2.5712218583687827</v>
      </c>
      <c r="N159" s="1">
        <f t="shared" si="56"/>
        <v>-2.211691178407293</v>
      </c>
      <c r="O159" s="1">
        <f t="shared" si="57"/>
        <v>-2.5996641244675889</v>
      </c>
      <c r="P159" s="1">
        <v>0</v>
      </c>
      <c r="Q159" s="1">
        <f t="shared" si="58"/>
        <v>-31.183523610512143</v>
      </c>
      <c r="R159" s="54">
        <f t="shared" si="59"/>
        <v>0</v>
      </c>
      <c r="S159" s="54"/>
      <c r="T159" s="1"/>
    </row>
    <row r="160" spans="1:20" x14ac:dyDescent="0.25">
      <c r="A160" s="1">
        <f>Calculate[[#This Row],[Freq]]</f>
        <v>7155000000</v>
      </c>
      <c r="B160">
        <v>-2.4513208724213786</v>
      </c>
      <c r="C160">
        <v>-31.368909224436454</v>
      </c>
      <c r="E160" s="1">
        <f t="shared" si="48"/>
        <v>-3.4143222307640735</v>
      </c>
      <c r="F160" s="1">
        <f t="shared" si="49"/>
        <v>-3.1006965221757148</v>
      </c>
      <c r="G160" s="1">
        <f t="shared" si="50"/>
        <v>-2.8181504472904075</v>
      </c>
      <c r="H160" s="1">
        <f t="shared" si="51"/>
        <v>-3.3545139384170142</v>
      </c>
      <c r="I160" s="1">
        <f t="shared" si="52"/>
        <v>-2.7417165447180949</v>
      </c>
      <c r="J160" s="1">
        <f t="shared" si="53"/>
        <v>-2.4513208724213786</v>
      </c>
      <c r="K160" s="1">
        <f t="shared" si="54"/>
        <v>-3.8435361210332832</v>
      </c>
      <c r="L160" s="1">
        <f>AC$3*(((1+AC$5*(T-20))*$A160)^AC$4) + AC$2*$A160</f>
        <v>-2.9292553625292115</v>
      </c>
      <c r="M160" s="1">
        <f t="shared" si="55"/>
        <v>-2.5810987371093757</v>
      </c>
      <c r="N160" s="1">
        <f t="shared" si="56"/>
        <v>-2.2199346685725851</v>
      </c>
      <c r="O160" s="1">
        <f t="shared" si="57"/>
        <v>-2.6088260056797949</v>
      </c>
      <c r="P160" s="1">
        <v>0</v>
      </c>
      <c r="Q160" s="1">
        <f t="shared" si="58"/>
        <v>-31.368909224436454</v>
      </c>
      <c r="R160" s="54">
        <f t="shared" si="59"/>
        <v>0</v>
      </c>
      <c r="S160" s="54"/>
      <c r="T160" s="1"/>
    </row>
    <row r="161" spans="1:20" x14ac:dyDescent="0.25">
      <c r="A161" s="1">
        <f>Calculate[[#This Row],[Freq]]</f>
        <v>7200000000</v>
      </c>
      <c r="B161">
        <v>-2.4610947813547517</v>
      </c>
      <c r="C161">
        <v>-31.5542573475587</v>
      </c>
      <c r="E161" s="1">
        <f t="shared" si="48"/>
        <v>-3.4272734026377005</v>
      </c>
      <c r="F161" s="1">
        <f t="shared" si="49"/>
        <v>-3.1124220229961335</v>
      </c>
      <c r="G161" s="1">
        <f t="shared" si="50"/>
        <v>-2.8297825965632604</v>
      </c>
      <c r="H161" s="1">
        <f t="shared" si="51"/>
        <v>-3.3697059954783599</v>
      </c>
      <c r="I161" s="1">
        <f t="shared" si="52"/>
        <v>-2.7512652815577305</v>
      </c>
      <c r="J161" s="1">
        <f t="shared" si="53"/>
        <v>-2.4610947813547517</v>
      </c>
      <c r="K161" s="1">
        <f t="shared" si="54"/>
        <v>-3.8630201318432889</v>
      </c>
      <c r="L161" s="1">
        <f>AC$3*(((1+AC$5*(T-20))*$A161)^AC$4) + AC$2*$A161</f>
        <v>-2.9406910945940354</v>
      </c>
      <c r="M161" s="1">
        <f t="shared" si="55"/>
        <v>-2.5909555951985439</v>
      </c>
      <c r="N161" s="1">
        <f t="shared" si="56"/>
        <v>-2.2281601478332678</v>
      </c>
      <c r="O161" s="1">
        <f t="shared" si="57"/>
        <v>-2.617965064986147</v>
      </c>
      <c r="P161" s="1">
        <v>0</v>
      </c>
      <c r="Q161" s="1">
        <f t="shared" si="58"/>
        <v>-31.5542573475587</v>
      </c>
      <c r="R161" s="54">
        <f t="shared" si="59"/>
        <v>0</v>
      </c>
      <c r="S161" s="54"/>
      <c r="T161" s="1"/>
    </row>
    <row r="162" spans="1:20" x14ac:dyDescent="0.25">
      <c r="A162" s="1">
        <f>Calculate[[#This Row],[Freq]]</f>
        <v>7245000000</v>
      </c>
      <c r="B162">
        <v>-2.4708511377703122</v>
      </c>
      <c r="C162">
        <v>-31.739568330811117</v>
      </c>
      <c r="E162" s="1">
        <f t="shared" ref="E162:E193" si="60">V$3*(((1+V$5*(T-20))*$A162)^V$4) + V$2*$A162</f>
        <v>-3.4402007206822698</v>
      </c>
      <c r="F162" s="1">
        <f t="shared" ref="F162:F193" si="61">W$3*(((1+W$5*(T-20))*$A162)^W$4) + W$2*$A162</f>
        <v>-3.1241233383107971</v>
      </c>
      <c r="G162" s="1">
        <f t="shared" ref="G162:G193" si="62">X$3*(((1+X$5*(T-20))*$A162)^X$4) + X$2*$A162</f>
        <v>-2.8413957971801453</v>
      </c>
      <c r="H162" s="1">
        <f t="shared" ref="H162:H193" si="63">Y$3*(((1+Y$5*(T-20))*$A162)^Y$4) + Y$2*$A162</f>
        <v>-3.3848796841332485</v>
      </c>
      <c r="I162" s="1">
        <f t="shared" ref="I162:I193" si="64">Z$3*(((1+Z$5*(T-20))*$A162)^Z$4) + Z$2*$A162</f>
        <v>-2.7607924814735068</v>
      </c>
      <c r="J162" s="1">
        <f t="shared" ref="J162:J193" si="65">AA$3*(((1+AA$5*(T-20))*$A162)^AA$4) + AA$2*$A162</f>
        <v>-2.4708511377703122</v>
      </c>
      <c r="K162" s="1">
        <f t="shared" ref="K162:K193" si="66">AB$3*(((1+AB$5*(T-20))*$A162)^AB$4) + AB$2*$A162</f>
        <v>-3.8824895575366223</v>
      </c>
      <c r="L162" s="1">
        <f>AC$3*(((1+AC$5*(T-20))*$A162)^AC$4) + AC$2*$A162</f>
        <v>-2.95210509361933</v>
      </c>
      <c r="M162" s="1">
        <f t="shared" ref="M162:M193" si="67">AD$3*(((1+AD$5*(T-20))*$A162)^AD$4) + AD$2*$A162</f>
        <v>-2.6007926200393721</v>
      </c>
      <c r="N162" s="1">
        <f t="shared" ref="N162:N193" si="68">AE$3*(((1+AE$5*(T-20))*$A162)^AE$4) + AE$2*$A162</f>
        <v>-2.2363677847802133</v>
      </c>
      <c r="O162" s="1">
        <f t="shared" ref="O162:O193" si="69">AF$3*(((1+AF$5*(T-20))*$A162)^AF$4) + AF$2*$A162</f>
        <v>-2.6270815160108416</v>
      </c>
      <c r="P162" s="1">
        <v>0</v>
      </c>
      <c r="Q162" s="1">
        <f t="shared" ref="Q162:Q193" si="70">AG$3*(((1+AG$5*(T-20))*$A162)^AG$4) + AG$2*$A162</f>
        <v>-31.739568330811117</v>
      </c>
      <c r="R162" s="54">
        <f t="shared" ref="R162:R193" si="71">AH$3*(((1+AH$5*(T-20))*$A162)^AH$4) + AH$2*$A162</f>
        <v>0</v>
      </c>
      <c r="S162" s="54"/>
      <c r="T162" s="1"/>
    </row>
    <row r="163" spans="1:20" x14ac:dyDescent="0.25">
      <c r="A163" s="1">
        <f>Calculate[[#This Row],[Freq]]</f>
        <v>7290000000</v>
      </c>
      <c r="B163">
        <v>-2.4805901049492673</v>
      </c>
      <c r="C163">
        <v>-31.924842519685043</v>
      </c>
      <c r="E163" s="1">
        <f t="shared" si="60"/>
        <v>-3.4531044141575764</v>
      </c>
      <c r="F163" s="1">
        <f t="shared" si="61"/>
        <v>-3.1358006931038713</v>
      </c>
      <c r="G163" s="1">
        <f t="shared" si="62"/>
        <v>-2.8529902254097568</v>
      </c>
      <c r="H163" s="1">
        <f t="shared" si="63"/>
        <v>-3.400035175252639</v>
      </c>
      <c r="I163" s="1">
        <f t="shared" si="64"/>
        <v>-2.7702983514573813</v>
      </c>
      <c r="J163" s="1">
        <f t="shared" si="65"/>
        <v>-2.4805901049492673</v>
      </c>
      <c r="K163" s="1">
        <f t="shared" si="66"/>
        <v>-3.9019445337904246</v>
      </c>
      <c r="L163" s="1">
        <f>AC$3*(((1+AC$5*(T-20))*$A163)^AC$4) + AC$2*$A163</f>
        <v>-2.9634975617753452</v>
      </c>
      <c r="M163" s="1">
        <f t="shared" si="67"/>
        <v>-2.6106099961294209</v>
      </c>
      <c r="N163" s="1">
        <f t="shared" si="68"/>
        <v>-2.2445577453904368</v>
      </c>
      <c r="O163" s="1">
        <f t="shared" si="69"/>
        <v>-2.636175569066014</v>
      </c>
      <c r="P163" s="1">
        <v>0</v>
      </c>
      <c r="Q163" s="1">
        <f t="shared" si="70"/>
        <v>-31.924842519685043</v>
      </c>
      <c r="R163" s="54">
        <f t="shared" si="71"/>
        <v>0</v>
      </c>
      <c r="S163" s="54"/>
      <c r="T163" s="1"/>
    </row>
    <row r="164" spans="1:20" x14ac:dyDescent="0.25">
      <c r="A164" s="1">
        <f>Calculate[[#This Row],[Freq]]</f>
        <v>7335000000</v>
      </c>
      <c r="B164">
        <v>-2.4903118436568925</v>
      </c>
      <c r="C164">
        <v>-32.110080254348276</v>
      </c>
      <c r="E164" s="1">
        <f t="shared" si="60"/>
        <v>-3.4659847087207636</v>
      </c>
      <c r="F164" s="1">
        <f t="shared" si="61"/>
        <v>-3.1474543088928346</v>
      </c>
      <c r="G164" s="1">
        <f t="shared" si="62"/>
        <v>-2.8645660548047416</v>
      </c>
      <c r="H164" s="1">
        <f t="shared" si="63"/>
        <v>-3.4151726370746136</v>
      </c>
      <c r="I164" s="1">
        <f t="shared" si="64"/>
        <v>-2.7797830952485807</v>
      </c>
      <c r="J164" s="1">
        <f t="shared" si="65"/>
        <v>-2.4903118436568925</v>
      </c>
      <c r="K164" s="1">
        <f t="shared" si="66"/>
        <v>-3.921385194191247</v>
      </c>
      <c r="L164" s="1">
        <f>AC$3*(((1+AC$5*(T-20))*$A164)^AC$4) + AC$2*$A164</f>
        <v>-2.9748686981171755</v>
      </c>
      <c r="M164" s="1">
        <f t="shared" si="67"/>
        <v>-2.620407905123407</v>
      </c>
      <c r="N164" s="1">
        <f t="shared" si="68"/>
        <v>-2.252730193083484</v>
      </c>
      <c r="O164" s="1">
        <f t="shared" si="69"/>
        <v>-2.6452474312231899</v>
      </c>
      <c r="P164" s="1">
        <v>0</v>
      </c>
      <c r="Q164" s="1">
        <f t="shared" si="70"/>
        <v>-32.110080254348276</v>
      </c>
      <c r="R164" s="54">
        <f t="shared" si="71"/>
        <v>0</v>
      </c>
      <c r="S164" s="54"/>
      <c r="T164" s="1"/>
    </row>
    <row r="165" spans="1:20" x14ac:dyDescent="0.25">
      <c r="A165" s="1">
        <f>Calculate[[#This Row],[Freq]]</f>
        <v>7380000000</v>
      </c>
      <c r="B165">
        <v>-2.5000165121964741</v>
      </c>
      <c r="C165">
        <v>-32.295281869759222</v>
      </c>
      <c r="E165" s="1">
        <f t="shared" si="60"/>
        <v>-3.4788418265046501</v>
      </c>
      <c r="F165" s="1">
        <f t="shared" si="61"/>
        <v>-3.1590844038028076</v>
      </c>
      <c r="G165" s="1">
        <f t="shared" si="62"/>
        <v>-2.8761234562599265</v>
      </c>
      <c r="H165" s="1">
        <f t="shared" si="63"/>
        <v>-3.4302922352608256</v>
      </c>
      <c r="I165" s="1">
        <f t="shared" si="64"/>
        <v>-2.7892469134043245</v>
      </c>
      <c r="J165" s="1">
        <f t="shared" si="65"/>
        <v>-2.5000165121964741</v>
      </c>
      <c r="K165" s="1">
        <f t="shared" si="66"/>
        <v>-3.9408116702798699</v>
      </c>
      <c r="L165" s="1">
        <f>AC$3*(((1+AC$5*(T-20))*$A165)^AC$4) + AC$2*$A165</f>
        <v>-2.9862186986515491</v>
      </c>
      <c r="M165" s="1">
        <f t="shared" si="67"/>
        <v>-2.6301865258941519</v>
      </c>
      <c r="N165" s="1">
        <f t="shared" si="68"/>
        <v>-2.2608852887762634</v>
      </c>
      <c r="O165" s="1">
        <f t="shared" si="69"/>
        <v>-2.6542973063827628</v>
      </c>
      <c r="P165" s="1">
        <v>0</v>
      </c>
      <c r="Q165" s="1">
        <f t="shared" si="70"/>
        <v>-32.295281869759222</v>
      </c>
      <c r="R165" s="54">
        <f t="shared" si="71"/>
        <v>0</v>
      </c>
      <c r="S165" s="54"/>
      <c r="T165" s="1"/>
    </row>
    <row r="166" spans="1:20" x14ac:dyDescent="0.25">
      <c r="A166" s="1">
        <f>Calculate[[#This Row],[Freq]]</f>
        <v>7425000000</v>
      </c>
      <c r="B166">
        <v>-2.5097042664617715</v>
      </c>
      <c r="C166">
        <v>-32.480447695777904</v>
      </c>
      <c r="E166" s="1">
        <f t="shared" si="60"/>
        <v>-3.4916759861938811</v>
      </c>
      <c r="F166" s="1">
        <f t="shared" si="61"/>
        <v>-3.1706911926388361</v>
      </c>
      <c r="G166" s="1">
        <f t="shared" si="62"/>
        <v>-2.8876625980689576</v>
      </c>
      <c r="H166" s="1">
        <f t="shared" si="63"/>
        <v>-3.4453941329513982</v>
      </c>
      <c r="I166" s="1">
        <f t="shared" si="64"/>
        <v>-2.7986900033685749</v>
      </c>
      <c r="J166" s="1">
        <f t="shared" si="65"/>
        <v>-2.5097042664617715</v>
      </c>
      <c r="K166" s="1">
        <f t="shared" si="66"/>
        <v>-3.9602240915948981</v>
      </c>
      <c r="L166" s="1">
        <f>AC$3*(((1+AC$5*(T-20))*$A166)^AC$4) + AC$2*$A166</f>
        <v>-2.9975477564017838</v>
      </c>
      <c r="M166" s="1">
        <f t="shared" si="67"/>
        <v>-2.6399460345918619</v>
      </c>
      <c r="N166" s="1">
        <f t="shared" si="68"/>
        <v>-2.2690231909363745</v>
      </c>
      <c r="O166" s="1">
        <f t="shared" si="69"/>
        <v>-2.6633253953415665</v>
      </c>
      <c r="P166" s="1">
        <v>0</v>
      </c>
      <c r="Q166" s="1">
        <f t="shared" si="70"/>
        <v>-32.480447695777904</v>
      </c>
      <c r="R166" s="54">
        <f t="shared" si="71"/>
        <v>0</v>
      </c>
      <c r="S166" s="54"/>
      <c r="T166" s="1"/>
    </row>
    <row r="167" spans="1:20" x14ac:dyDescent="0.25">
      <c r="A167" s="1">
        <f>Calculate[[#This Row],[Freq]]</f>
        <v>7470000000</v>
      </c>
      <c r="B167">
        <v>-2.519375259988053</v>
      </c>
      <c r="C167">
        <v>-32.665578057273954</v>
      </c>
      <c r="E167" s="1">
        <f t="shared" si="60"/>
        <v>-3.5044874030989956</v>
      </c>
      <c r="F167" s="1">
        <f t="shared" si="61"/>
        <v>-3.1822748869562174</v>
      </c>
      <c r="G167" s="1">
        <f t="shared" si="62"/>
        <v>-2.8991836459793943</v>
      </c>
      <c r="H167" s="1">
        <f t="shared" si="63"/>
        <v>-3.4604784908183364</v>
      </c>
      <c r="I167" s="1">
        <f t="shared" si="64"/>
        <v>-2.8081125595389147</v>
      </c>
      <c r="J167" s="1">
        <f t="shared" si="65"/>
        <v>-2.519375259988053</v>
      </c>
      <c r="K167" s="1">
        <f t="shared" si="66"/>
        <v>-3.9796225857151684</v>
      </c>
      <c r="L167" s="1">
        <f>AC$3*(((1+AC$5*(T-20))*$A167)^AC$4) + AC$2*$A167</f>
        <v>-3.0088560614709805</v>
      </c>
      <c r="M167" s="1">
        <f t="shared" si="67"/>
        <v>-2.6496866047017971</v>
      </c>
      <c r="N167" s="1">
        <f t="shared" si="68"/>
        <v>-2.2771440556339866</v>
      </c>
      <c r="O167" s="1">
        <f t="shared" si="69"/>
        <v>-2.6723318958586151</v>
      </c>
      <c r="P167" s="1">
        <v>0</v>
      </c>
      <c r="Q167" s="1">
        <f t="shared" si="70"/>
        <v>-32.665578057273954</v>
      </c>
      <c r="R167" s="54">
        <f t="shared" si="71"/>
        <v>0</v>
      </c>
      <c r="S167" s="54"/>
      <c r="T167" s="1"/>
    </row>
    <row r="168" spans="1:20" x14ac:dyDescent="0.25">
      <c r="A168" s="1">
        <f>Calculate[[#This Row],[Freq]]</f>
        <v>7515000000</v>
      </c>
      <c r="B168">
        <v>-2.5290296440017497</v>
      </c>
      <c r="C168">
        <v>-32.850673274231667</v>
      </c>
      <c r="E168" s="1">
        <f t="shared" si="60"/>
        <v>-3.5172762892284704</v>
      </c>
      <c r="F168" s="1">
        <f t="shared" si="61"/>
        <v>-3.1938356951289162</v>
      </c>
      <c r="G168" s="1">
        <f t="shared" si="62"/>
        <v>-2.9106867632463107</v>
      </c>
      <c r="H168" s="1">
        <f t="shared" si="63"/>
        <v>-3.4755454671174846</v>
      </c>
      <c r="I168" s="1">
        <f t="shared" si="64"/>
        <v>-2.8175147733315895</v>
      </c>
      <c r="J168" s="1">
        <f t="shared" si="65"/>
        <v>-2.5290296440017497</v>
      </c>
      <c r="K168" s="1">
        <f t="shared" si="66"/>
        <v>-3.9990072783010087</v>
      </c>
      <c r="L168" s="1">
        <f>AC$3*(((1+AC$5*(T-20))*$A168)^AC$4) + AC$2*$A168</f>
        <v>-3.0201438011035009</v>
      </c>
      <c r="M168" s="1">
        <f t="shared" si="67"/>
        <v>-2.6594084071003756</v>
      </c>
      <c r="N168" s="1">
        <f t="shared" si="68"/>
        <v>-2.2852480365923125</v>
      </c>
      <c r="O168" s="1">
        <f t="shared" si="69"/>
        <v>-2.6813170027190529</v>
      </c>
      <c r="P168" s="1">
        <v>0</v>
      </c>
      <c r="Q168" s="1">
        <f t="shared" si="70"/>
        <v>-32.850673274231667</v>
      </c>
      <c r="R168" s="54">
        <f t="shared" si="71"/>
        <v>0</v>
      </c>
      <c r="S168" s="54"/>
      <c r="T168" s="1"/>
    </row>
    <row r="169" spans="1:20" x14ac:dyDescent="0.25">
      <c r="A169" s="1">
        <f>Calculate[[#This Row],[Freq]]</f>
        <v>7560000000</v>
      </c>
      <c r="B169">
        <v>-2.5386675674687709</v>
      </c>
      <c r="C169">
        <v>-33.035733661852213</v>
      </c>
      <c r="E169" s="1">
        <f t="shared" si="60"/>
        <v>-3.5300428533588084</v>
      </c>
      <c r="F169" s="1">
        <f t="shared" si="61"/>
        <v>-3.2053738224161372</v>
      </c>
      <c r="G169" s="1">
        <f t="shared" si="62"/>
        <v>-2.9221721106844583</v>
      </c>
      <c r="H169" s="1">
        <f t="shared" si="63"/>
        <v>-3.4905952177390933</v>
      </c>
      <c r="I169" s="1">
        <f t="shared" si="64"/>
        <v>-2.8268968332447919</v>
      </c>
      <c r="J169" s="1">
        <f t="shared" si="65"/>
        <v>-2.5386675674687709</v>
      </c>
      <c r="K169" s="1">
        <f t="shared" si="66"/>
        <v>-4.0183782931343845</v>
      </c>
      <c r="L169" s="1">
        <f>AC$3*(((1+AC$5*(T-20))*$A169)^AC$4) + AC$2*$A169</f>
        <v>-3.0314111597447932</v>
      </c>
      <c r="M169" s="1">
        <f t="shared" si="67"/>
        <v>-2.6691116101097645</v>
      </c>
      <c r="N169" s="1">
        <f t="shared" si="68"/>
        <v>-2.2933352852367217</v>
      </c>
      <c r="O169" s="1">
        <f t="shared" si="69"/>
        <v>-2.6902809077963941</v>
      </c>
      <c r="P169" s="1">
        <v>0</v>
      </c>
      <c r="Q169" s="1">
        <f t="shared" si="70"/>
        <v>-33.035733661852213</v>
      </c>
      <c r="R169" s="54">
        <f t="shared" si="71"/>
        <v>0</v>
      </c>
      <c r="S169" s="54"/>
      <c r="T169" s="1"/>
    </row>
    <row r="170" spans="1:20" x14ac:dyDescent="0.25">
      <c r="A170" s="1">
        <f>Calculate[[#This Row],[Freq]]</f>
        <v>7605000000</v>
      </c>
      <c r="B170">
        <v>-2.5482891771415321</v>
      </c>
      <c r="C170">
        <v>-33.220759530653204</v>
      </c>
      <c r="E170" s="1">
        <f t="shared" si="60"/>
        <v>-3.5427873011027122</v>
      </c>
      <c r="F170" s="1">
        <f t="shared" si="61"/>
        <v>-3.2168894710271263</v>
      </c>
      <c r="G170" s="1">
        <f t="shared" si="62"/>
        <v>-2.9336398467190294</v>
      </c>
      <c r="H170" s="1">
        <f t="shared" si="63"/>
        <v>-3.5056278962570282</v>
      </c>
      <c r="I170" s="1">
        <f t="shared" si="64"/>
        <v>-2.8362589249202106</v>
      </c>
      <c r="J170" s="1">
        <f t="shared" si="65"/>
        <v>-2.5482891771415321</v>
      </c>
      <c r="K170" s="1">
        <f t="shared" si="66"/>
        <v>-4.0377357521579791</v>
      </c>
      <c r="L170" s="1">
        <f>AC$3*(((1+AC$5*(T-20))*$A170)^AC$4) + AC$2*$A170</f>
        <v>-3.0426583190996168</v>
      </c>
      <c r="M170" s="1">
        <f t="shared" si="67"/>
        <v>-2.6787963795510259</v>
      </c>
      <c r="N170" s="1">
        <f t="shared" si="68"/>
        <v>-2.3014059507425437</v>
      </c>
      <c r="O170" s="1">
        <f t="shared" si="69"/>
        <v>-2.6992238001130877</v>
      </c>
      <c r="P170" s="1">
        <v>0</v>
      </c>
      <c r="Q170" s="1">
        <f t="shared" si="70"/>
        <v>-33.220759530653204</v>
      </c>
      <c r="R170" s="54">
        <f t="shared" si="71"/>
        <v>0</v>
      </c>
      <c r="S170" s="54"/>
      <c r="T170" s="1"/>
    </row>
    <row r="171" spans="1:20" x14ac:dyDescent="0.25">
      <c r="A171" s="1">
        <f>Calculate[[#This Row],[Freq]]</f>
        <v>7650000000</v>
      </c>
      <c r="B171">
        <v>-2.5578946176047284</v>
      </c>
      <c r="C171">
        <v>-33.405751186565482</v>
      </c>
      <c r="E171" s="1">
        <f t="shared" si="60"/>
        <v>-3.5555098349754282</v>
      </c>
      <c r="F171" s="1">
        <f t="shared" si="61"/>
        <v>-3.2283828401842403</v>
      </c>
      <c r="G171" s="1">
        <f t="shared" si="62"/>
        <v>-2.9450901274350758</v>
      </c>
      <c r="H171" s="1">
        <f t="shared" si="63"/>
        <v>-3.5206436539766717</v>
      </c>
      <c r="I171" s="1">
        <f t="shared" si="64"/>
        <v>-2.8456012312029326</v>
      </c>
      <c r="J171" s="1">
        <f t="shared" si="65"/>
        <v>-2.5578946176047284</v>
      </c>
      <c r="K171" s="1">
        <f t="shared" si="66"/>
        <v>-4.0570797755132251</v>
      </c>
      <c r="L171" s="1">
        <f>AC$3*(((1+AC$5*(T-20))*$A171)^AC$4) + AC$2*$A171</f>
        <v>-3.0538854581887209</v>
      </c>
      <c r="M171" s="1">
        <f t="shared" si="67"/>
        <v>-2.6884628787958285</v>
      </c>
      <c r="N171" s="1">
        <f t="shared" si="68"/>
        <v>-2.3094601800815986</v>
      </c>
      <c r="O171" s="1">
        <f t="shared" si="69"/>
        <v>-2.7081458658994828</v>
      </c>
      <c r="P171" s="1">
        <v>0</v>
      </c>
      <c r="Q171" s="1">
        <f t="shared" si="70"/>
        <v>-33.405751186565482</v>
      </c>
      <c r="R171" s="54">
        <f t="shared" si="71"/>
        <v>0</v>
      </c>
      <c r="S171" s="54"/>
      <c r="T171" s="1"/>
    </row>
    <row r="172" spans="1:20" x14ac:dyDescent="0.25">
      <c r="A172" s="1">
        <f>Calculate[[#This Row],[Freq]]</f>
        <v>7695000000</v>
      </c>
      <c r="B172">
        <v>-2.5674840313198981</v>
      </c>
      <c r="C172">
        <v>-33.590708931027464</v>
      </c>
      <c r="E172" s="1">
        <f t="shared" si="60"/>
        <v>-3.5682106544593406</v>
      </c>
      <c r="F172" s="1">
        <f t="shared" si="61"/>
        <v>-3.239854126184353</v>
      </c>
      <c r="G172" s="1">
        <f t="shared" si="62"/>
        <v>-2.9565231066256152</v>
      </c>
      <c r="H172" s="1">
        <f t="shared" si="63"/>
        <v>-3.5356426399815621</v>
      </c>
      <c r="I172" s="1">
        <f t="shared" si="64"/>
        <v>-2.8549239321997617</v>
      </c>
      <c r="J172" s="1">
        <f t="shared" si="65"/>
        <v>-2.5674840313198981</v>
      </c>
      <c r="K172" s="1">
        <f t="shared" si="66"/>
        <v>-4.0764104815773363</v>
      </c>
      <c r="L172" s="1">
        <f>AC$3*(((1+AC$5*(T-20))*$A172)^AC$4) + AC$2*$A172</f>
        <v>-3.0650927534040218</v>
      </c>
      <c r="M172" s="1">
        <f t="shared" si="67"/>
        <v>-2.6981112688168101</v>
      </c>
      <c r="N172" s="1">
        <f t="shared" si="68"/>
        <v>-2.3174981180674963</v>
      </c>
      <c r="O172" s="1">
        <f t="shared" si="69"/>
        <v>-2.7170472886512256</v>
      </c>
      <c r="P172" s="1">
        <v>0</v>
      </c>
      <c r="Q172" s="1">
        <f t="shared" si="70"/>
        <v>-33.590708931027464</v>
      </c>
      <c r="R172" s="54">
        <f t="shared" si="71"/>
        <v>0</v>
      </c>
      <c r="S172" s="54"/>
      <c r="T172" s="1"/>
    </row>
    <row r="173" spans="1:20" x14ac:dyDescent="0.25">
      <c r="A173" s="1">
        <f>Calculate[[#This Row],[Freq]]</f>
        <v>7740000000</v>
      </c>
      <c r="B173">
        <v>-2.5770575586688178</v>
      </c>
      <c r="C173">
        <v>-33.775633061076917</v>
      </c>
      <c r="E173" s="1">
        <f t="shared" si="60"/>
        <v>-3.5808899560668301</v>
      </c>
      <c r="F173" s="1">
        <f t="shared" si="61"/>
        <v>-3.2513035224586457</v>
      </c>
      <c r="G173" s="1">
        <f t="shared" si="62"/>
        <v>-2.967938935838478</v>
      </c>
      <c r="H173" s="1">
        <f t="shared" si="63"/>
        <v>-3.550625001178803</v>
      </c>
      <c r="I173" s="1">
        <f t="shared" si="64"/>
        <v>-2.8642272053359741</v>
      </c>
      <c r="J173" s="1">
        <f t="shared" si="65"/>
        <v>-2.5770575586688178</v>
      </c>
      <c r="K173" s="1">
        <f t="shared" si="66"/>
        <v>-4.0957279869993668</v>
      </c>
      <c r="L173" s="1">
        <f>AC$3*(((1+AC$5*(T-20))*$A173)^AC$4) + AC$2*$A173</f>
        <v>-3.0762803785623341</v>
      </c>
      <c r="M173" s="1">
        <f t="shared" si="67"/>
        <v>-2.7077417082366058</v>
      </c>
      <c r="N173" s="1">
        <f t="shared" si="68"/>
        <v>-2.3255199073997477</v>
      </c>
      <c r="O173" s="1">
        <f t="shared" si="69"/>
        <v>-2.7259282491851522</v>
      </c>
      <c r="P173" s="1">
        <v>0</v>
      </c>
      <c r="Q173" s="1">
        <f t="shared" si="70"/>
        <v>-33.775633061076917</v>
      </c>
      <c r="R173" s="54">
        <f t="shared" si="71"/>
        <v>0</v>
      </c>
      <c r="S173" s="54"/>
      <c r="T173" s="1"/>
    </row>
    <row r="174" spans="1:20" x14ac:dyDescent="0.25">
      <c r="A174" s="1">
        <f>Calculate[[#This Row],[Freq]]</f>
        <v>7785000000</v>
      </c>
      <c r="B174">
        <v>-2.5866153379957635</v>
      </c>
      <c r="C174">
        <v>-33.960523869440422</v>
      </c>
      <c r="E174" s="1">
        <f t="shared" si="60"/>
        <v>-3.5935479334014744</v>
      </c>
      <c r="F174" s="1">
        <f t="shared" si="61"/>
        <v>-3.2627312196308411</v>
      </c>
      <c r="G174" s="1">
        <f t="shared" si="62"/>
        <v>-2.9793377644219299</v>
      </c>
      <c r="H174" s="1">
        <f t="shared" si="63"/>
        <v>-3.5655908823432854</v>
      </c>
      <c r="I174" s="1">
        <f t="shared" si="64"/>
        <v>-2.8735112254105699</v>
      </c>
      <c r="J174" s="1">
        <f t="shared" si="65"/>
        <v>-2.5866153379957635</v>
      </c>
      <c r="K174" s="1">
        <f t="shared" si="66"/>
        <v>-4.1150324067353266</v>
      </c>
      <c r="L174" s="1">
        <f>AC$3*(((1+AC$5*(T-20))*$A174)^AC$4) + AC$2*$A174</f>
        <v>-3.0874485049576905</v>
      </c>
      <c r="M174" s="1">
        <f t="shared" si="67"/>
        <v>-2.7173543533756033</v>
      </c>
      <c r="N174" s="1">
        <f t="shared" si="68"/>
        <v>-2.3335256887067226</v>
      </c>
      <c r="O174" s="1">
        <f t="shared" si="69"/>
        <v>-2.7347889256937243</v>
      </c>
      <c r="P174" s="1">
        <v>0</v>
      </c>
      <c r="Q174" s="1">
        <f t="shared" si="70"/>
        <v>-33.960523869440422</v>
      </c>
      <c r="R174" s="54">
        <f t="shared" si="71"/>
        <v>0</v>
      </c>
      <c r="S174" s="54"/>
      <c r="T174" s="1"/>
    </row>
    <row r="175" spans="1:20" x14ac:dyDescent="0.25">
      <c r="A175" s="1">
        <f>Calculate[[#This Row],[Freq]]</f>
        <v>7830000000</v>
      </c>
      <c r="B175">
        <v>-2.5961575056486721</v>
      </c>
      <c r="C175">
        <v>-34.145381644620443</v>
      </c>
      <c r="E175" s="1">
        <f t="shared" si="60"/>
        <v>-3.6061847772176443</v>
      </c>
      <c r="F175" s="1">
        <f t="shared" si="61"/>
        <v>-3.2741374055739176</v>
      </c>
      <c r="G175" s="1">
        <f t="shared" si="62"/>
        <v>-2.9907197395691063</v>
      </c>
      <c r="H175" s="1">
        <f t="shared" si="63"/>
        <v>-3.580540426160769</v>
      </c>
      <c r="I175" s="1">
        <f t="shared" si="64"/>
        <v>-2.8827761646500871</v>
      </c>
      <c r="J175" s="1">
        <f t="shared" si="65"/>
        <v>-2.5961575056486721</v>
      </c>
      <c r="K175" s="1">
        <f t="shared" si="66"/>
        <v>-4.1343238540823828</v>
      </c>
      <c r="L175" s="1">
        <f>AC$3*(((1+AC$5*(T-20))*$A175)^AC$4) + AC$2*$A175</f>
        <v>-3.0985973014123176</v>
      </c>
      <c r="M175" s="1">
        <f t="shared" si="67"/>
        <v>-2.7269493582984508</v>
      </c>
      <c r="N175" s="1">
        <f t="shared" si="68"/>
        <v>-2.3415156005874929</v>
      </c>
      <c r="O175" s="1">
        <f t="shared" si="69"/>
        <v>-2.7436294937980463</v>
      </c>
      <c r="P175" s="1">
        <v>0</v>
      </c>
      <c r="Q175" s="1">
        <f t="shared" si="70"/>
        <v>-34.145381644620443</v>
      </c>
      <c r="R175" s="54">
        <f t="shared" si="71"/>
        <v>0</v>
      </c>
      <c r="S175" s="54"/>
      <c r="T175" s="1"/>
    </row>
    <row r="176" spans="1:20" x14ac:dyDescent="0.25">
      <c r="A176" s="1">
        <f>Calculate[[#This Row],[Freq]]</f>
        <v>7875000000</v>
      </c>
      <c r="B176">
        <v>-2.6056841960192396</v>
      </c>
      <c r="C176">
        <v>-34.330206670980182</v>
      </c>
      <c r="E176" s="1">
        <f t="shared" si="60"/>
        <v>-3.6188006754785436</v>
      </c>
      <c r="F176" s="1">
        <f t="shared" si="61"/>
        <v>-3.2855222654653629</v>
      </c>
      <c r="G176" s="1">
        <f t="shared" si="62"/>
        <v>-3.0020850063613027</v>
      </c>
      <c r="H176" s="1">
        <f t="shared" si="63"/>
        <v>-3.5954737732698412</v>
      </c>
      <c r="I176" s="1">
        <f t="shared" si="64"/>
        <v>-2.8920221927609986</v>
      </c>
      <c r="J176" s="1">
        <f t="shared" si="65"/>
        <v>-2.6056841960192396</v>
      </c>
      <c r="K176" s="1">
        <f t="shared" si="66"/>
        <v>-4.1536024407121825</v>
      </c>
      <c r="L176" s="1">
        <f>AC$3*(((1+AC$5*(T-20))*$A176)^AC$4) + AC$2*$A176</f>
        <v>-3.1097269343262761</v>
      </c>
      <c r="M176" s="1">
        <f t="shared" si="67"/>
        <v>-2.7365268748593681</v>
      </c>
      <c r="N176" s="1">
        <f t="shared" si="68"/>
        <v>-2.3494897796525906</v>
      </c>
      <c r="O176" s="1">
        <f t="shared" si="69"/>
        <v>-2.7524501265995127</v>
      </c>
      <c r="P176" s="1">
        <v>0</v>
      </c>
      <c r="Q176" s="1">
        <f t="shared" si="70"/>
        <v>-34.330206670980182</v>
      </c>
      <c r="R176" s="54">
        <f t="shared" si="71"/>
        <v>0</v>
      </c>
      <c r="S176" s="54"/>
      <c r="T176" s="1"/>
    </row>
    <row r="177" spans="1:20" x14ac:dyDescent="0.25">
      <c r="A177" s="1">
        <f>Calculate[[#This Row],[Freq]]</f>
        <v>7920000000</v>
      </c>
      <c r="B177">
        <v>-2.6151955415819925</v>
      </c>
      <c r="C177">
        <v>-34.514999228826227</v>
      </c>
      <c r="E177" s="1">
        <f t="shared" si="60"/>
        <v>-3.6313958134127424</v>
      </c>
      <c r="F177" s="1">
        <f t="shared" si="61"/>
        <v>-3.2968859818410081</v>
      </c>
      <c r="G177" s="1">
        <f t="shared" si="62"/>
        <v>-3.0134337078101519</v>
      </c>
      <c r="H177" s="1">
        <f t="shared" si="63"/>
        <v>-3.6103910623028028</v>
      </c>
      <c r="I177" s="1">
        <f t="shared" si="64"/>
        <v>-2.9012494769807566</v>
      </c>
      <c r="J177" s="1">
        <f t="shared" si="65"/>
        <v>-2.6151955415819925</v>
      </c>
      <c r="K177" s="1">
        <f t="shared" si="66"/>
        <v>-4.1728682767033174</v>
      </c>
      <c r="L177" s="1">
        <f>AC$3*(((1+AC$5*(T-20))*$A177)^AC$4) + AC$2*$A177</f>
        <v>-3.1208375677258422</v>
      </c>
      <c r="M177" s="1">
        <f t="shared" si="67"/>
        <v>-2.7460870527462915</v>
      </c>
      <c r="N177" s="1">
        <f t="shared" si="68"/>
        <v>-2.3574483605637258</v>
      </c>
      <c r="O177" s="1">
        <f t="shared" si="69"/>
        <v>-2.7612509947301351</v>
      </c>
      <c r="P177" s="1">
        <v>0</v>
      </c>
      <c r="Q177" s="1">
        <f t="shared" si="70"/>
        <v>-34.514999228826227</v>
      </c>
      <c r="R177" s="54">
        <f t="shared" si="71"/>
        <v>0</v>
      </c>
      <c r="S177" s="54"/>
      <c r="T177" s="1"/>
    </row>
    <row r="178" spans="1:20" x14ac:dyDescent="0.25">
      <c r="A178" s="1">
        <f>Calculate[[#This Row],[Freq]]</f>
        <v>7965000000</v>
      </c>
      <c r="B178">
        <v>-2.6246916729323591</v>
      </c>
      <c r="C178">
        <v>-34.699759594489159</v>
      </c>
      <c r="E178" s="1">
        <f t="shared" si="60"/>
        <v>-3.6439703735692586</v>
      </c>
      <c r="F178" s="1">
        <f t="shared" si="61"/>
        <v>-3.3082287346474848</v>
      </c>
      <c r="G178" s="1">
        <f t="shared" si="62"/>
        <v>-3.0247659848987229</v>
      </c>
      <c r="H178" s="1">
        <f t="shared" si="63"/>
        <v>-3.6252924299255125</v>
      </c>
      <c r="I178" s="1">
        <f t="shared" si="64"/>
        <v>-2.9104581821275262</v>
      </c>
      <c r="J178" s="1">
        <f t="shared" si="65"/>
        <v>-2.6246916729323591</v>
      </c>
      <c r="K178" s="1">
        <f t="shared" si="66"/>
        <v>-4.1921214705729568</v>
      </c>
      <c r="L178" s="1">
        <f>AC$3*(((1+AC$5*(T-20))*$A178)^AC$4) + AC$2*$A178</f>
        <v>-3.1319293633106429</v>
      </c>
      <c r="M178" s="1">
        <f t="shared" si="67"/>
        <v>-2.7556300395238953</v>
      </c>
      <c r="N178" s="1">
        <f t="shared" si="68"/>
        <v>-2.3653914760724857</v>
      </c>
      <c r="O178" s="1">
        <f t="shared" si="69"/>
        <v>-2.770032266401576</v>
      </c>
      <c r="P178" s="1">
        <v>0</v>
      </c>
      <c r="Q178" s="1">
        <f t="shared" si="70"/>
        <v>-34.699759594489159</v>
      </c>
      <c r="R178" s="54">
        <f t="shared" si="71"/>
        <v>0</v>
      </c>
      <c r="S178" s="54"/>
      <c r="T178" s="1"/>
    </row>
    <row r="179" spans="1:20" x14ac:dyDescent="0.25">
      <c r="A179" s="1">
        <f>Calculate[[#This Row],[Freq]]</f>
        <v>8010000000</v>
      </c>
      <c r="B179">
        <v>-2.634172718823776</v>
      </c>
      <c r="C179">
        <v>-34.884488040402026</v>
      </c>
      <c r="E179" s="1">
        <f t="shared" si="60"/>
        <v>-3.6565245358711924</v>
      </c>
      <c r="F179" s="1">
        <f t="shared" si="61"/>
        <v>-3.3195507012933585</v>
      </c>
      <c r="G179" s="1">
        <f t="shared" si="62"/>
        <v>-3.0360819766215812</v>
      </c>
      <c r="H179" s="1">
        <f t="shared" si="63"/>
        <v>-3.6401780108762156</v>
      </c>
      <c r="I179" s="1">
        <f t="shared" si="64"/>
        <v>-2.919648470648605</v>
      </c>
      <c r="J179" s="1">
        <f t="shared" si="65"/>
        <v>-2.634172718823776</v>
      </c>
      <c r="K179" s="1">
        <f t="shared" si="66"/>
        <v>-4.2113621293076831</v>
      </c>
      <c r="L179" s="1">
        <f>AC$3*(((1+AC$5*(T-20))*$A179)^AC$4) + AC$2*$A179</f>
        <v>-3.1430024804996046</v>
      </c>
      <c r="M179" s="1">
        <f t="shared" si="67"/>
        <v>-2.7651559806755159</v>
      </c>
      <c r="N179" s="1">
        <f t="shared" si="68"/>
        <v>-2.3733192570580548</v>
      </c>
      <c r="O179" s="1">
        <f t="shared" si="69"/>
        <v>-2.7787941074529474</v>
      </c>
      <c r="P179" s="1">
        <v>0</v>
      </c>
      <c r="Q179" s="1">
        <f t="shared" si="70"/>
        <v>-34.884488040402026</v>
      </c>
      <c r="R179" s="54">
        <f t="shared" si="71"/>
        <v>0</v>
      </c>
      <c r="S179" s="54"/>
      <c r="T179" s="1"/>
    </row>
    <row r="180" spans="1:20" x14ac:dyDescent="0.25">
      <c r="A180" s="1">
        <f>Calculate[[#This Row],[Freq]]</f>
        <v>8055000000</v>
      </c>
      <c r="B180">
        <v>-2.6436388062038549</v>
      </c>
      <c r="C180">
        <v>-35.06918483517687</v>
      </c>
      <c r="E180" s="1">
        <f t="shared" si="60"/>
        <v>-3.6690584776680524</v>
      </c>
      <c r="F180" s="1">
        <f t="shared" si="61"/>
        <v>-3.330852056698959</v>
      </c>
      <c r="G180" s="1">
        <f t="shared" si="62"/>
        <v>-3.0473818200238298</v>
      </c>
      <c r="H180" s="1">
        <f t="shared" si="63"/>
        <v>-3.6550479380033938</v>
      </c>
      <c r="I180" s="1">
        <f t="shared" si="64"/>
        <v>-2.9288205026676728</v>
      </c>
      <c r="J180" s="1">
        <f t="shared" si="65"/>
        <v>-2.6436388062038549</v>
      </c>
      <c r="K180" s="1">
        <f t="shared" si="66"/>
        <v>-4.2305903583935445</v>
      </c>
      <c r="L180" s="1">
        <f>AC$3*(((1+AC$5*(T-20))*$A180)^AC$4) + AC$2*$A180</f>
        <v>-3.1540570764757305</v>
      </c>
      <c r="M180" s="1">
        <f t="shared" si="67"/>
        <v>-2.7746650196440252</v>
      </c>
      <c r="N180" s="1">
        <f t="shared" si="68"/>
        <v>-2.3812318325639783</v>
      </c>
      <c r="O180" s="1">
        <f t="shared" si="69"/>
        <v>-2.7875366813973939</v>
      </c>
      <c r="P180" s="1">
        <v>0</v>
      </c>
      <c r="Q180" s="1">
        <f t="shared" si="70"/>
        <v>-35.06918483517687</v>
      </c>
      <c r="R180" s="54">
        <f t="shared" si="71"/>
        <v>0</v>
      </c>
      <c r="S180" s="54"/>
      <c r="T180" s="1"/>
    </row>
    <row r="181" spans="1:20" x14ac:dyDescent="0.25">
      <c r="A181" s="1">
        <f>Calculate[[#This Row],[Freq]]</f>
        <v>8100000000</v>
      </c>
      <c r="B181">
        <v>-2.6530900602496463</v>
      </c>
      <c r="C181">
        <v>-35.253850243679352</v>
      </c>
      <c r="E181" s="1">
        <f t="shared" si="60"/>
        <v>-3.6815723737866914</v>
      </c>
      <c r="F181" s="1">
        <f t="shared" si="61"/>
        <v>-3.3421329733449681</v>
      </c>
      <c r="G181" s="1">
        <f t="shared" si="62"/>
        <v>-3.0586656502391798</v>
      </c>
      <c r="H181" s="1">
        <f t="shared" si="63"/>
        <v>-3.6699023423026658</v>
      </c>
      <c r="I181" s="1">
        <f t="shared" si="64"/>
        <v>-2.9379744360307765</v>
      </c>
      <c r="J181" s="1">
        <f t="shared" si="65"/>
        <v>-2.6530900602496463</v>
      </c>
      <c r="K181" s="1">
        <f t="shared" si="66"/>
        <v>-4.2498062618453547</v>
      </c>
      <c r="L181" s="1">
        <f>AC$3*(((1+AC$5*(T-20))*$A181)^AC$4) + AC$2*$A181</f>
        <v>-3.1650933062297635</v>
      </c>
      <c r="M181" s="1">
        <f t="shared" si="67"/>
        <v>-2.7841572978716655</v>
      </c>
      <c r="N181" s="1">
        <f t="shared" si="68"/>
        <v>-2.3891293298340064</v>
      </c>
      <c r="O181" s="1">
        <f t="shared" si="69"/>
        <v>-2.7962601494675097</v>
      </c>
      <c r="P181" s="1">
        <v>0</v>
      </c>
      <c r="Q181" s="1">
        <f t="shared" si="70"/>
        <v>-35.253850243679352</v>
      </c>
      <c r="R181" s="54">
        <f t="shared" si="71"/>
        <v>0</v>
      </c>
      <c r="S181" s="54"/>
      <c r="T181" s="1"/>
    </row>
    <row r="182" spans="1:20" x14ac:dyDescent="0.25">
      <c r="A182" s="1">
        <f>Calculate[[#This Row],[Freq]]</f>
        <v>8145000000</v>
      </c>
      <c r="B182">
        <v>-2.6625266044020175</v>
      </c>
      <c r="C182">
        <v>-35.438484527101515</v>
      </c>
      <c r="E182" s="1">
        <f t="shared" si="60"/>
        <v>-3.6940663965810012</v>
      </c>
      <c r="F182" s="1">
        <f t="shared" si="61"/>
        <v>-3.3533936213197943</v>
      </c>
      <c r="G182" s="1">
        <f t="shared" si="62"/>
        <v>-3.0699336005270608</v>
      </c>
      <c r="H182" s="1">
        <f t="shared" si="63"/>
        <v>-3.6847413529527655</v>
      </c>
      <c r="I182" s="1">
        <f t="shared" si="64"/>
        <v>-2.9471104263511974</v>
      </c>
      <c r="J182" s="1">
        <f t="shared" si="65"/>
        <v>-2.6625266044020175</v>
      </c>
      <c r="K182" s="1">
        <f t="shared" si="66"/>
        <v>-4.269009942235261</v>
      </c>
      <c r="L182" s="1">
        <f>AC$3*(((1+AC$5*(T-20))*$A182)^AC$4) + AC$2*$A182</f>
        <v>-3.1761113226027531</v>
      </c>
      <c r="M182" s="1">
        <f t="shared" si="67"/>
        <v>-2.7936329548389045</v>
      </c>
      <c r="N182" s="1">
        <f t="shared" si="68"/>
        <v>-2.3970118743470419</v>
      </c>
      <c r="O182" s="1">
        <f t="shared" si="69"/>
        <v>-2.8049646706596247</v>
      </c>
      <c r="P182" s="1">
        <v>0</v>
      </c>
      <c r="Q182" s="1">
        <f t="shared" si="70"/>
        <v>-35.438484527101515</v>
      </c>
      <c r="R182" s="54">
        <f t="shared" si="71"/>
        <v>0</v>
      </c>
      <c r="S182" s="54"/>
      <c r="T182" s="1"/>
    </row>
    <row r="183" spans="1:20" x14ac:dyDescent="0.25">
      <c r="A183" s="1">
        <f>Calculate[[#This Row],[Freq]]</f>
        <v>8190000000</v>
      </c>
      <c r="B183">
        <v>-2.6719485603991799</v>
      </c>
      <c r="C183">
        <v>-35.623087943032687</v>
      </c>
      <c r="E183" s="1">
        <f t="shared" si="60"/>
        <v>-3.706540715980335</v>
      </c>
      <c r="F183" s="1">
        <f t="shared" si="61"/>
        <v>-3.3646341683657672</v>
      </c>
      <c r="G183" s="1">
        <f t="shared" si="62"/>
        <v>-3.0811858023088186</v>
      </c>
      <c r="H183" s="1">
        <f t="shared" si="63"/>
        <v>-3.6995650973506269</v>
      </c>
      <c r="I183" s="1">
        <f t="shared" si="64"/>
        <v>-2.9562286270531755</v>
      </c>
      <c r="J183" s="1">
        <f t="shared" si="65"/>
        <v>-2.6719485603991799</v>
      </c>
      <c r="K183" s="1">
        <f t="shared" si="66"/>
        <v>-4.2882015007206054</v>
      </c>
      <c r="L183" s="1">
        <f>AC$3*(((1+AC$5*(T-20))*$A183)^AC$4) + AC$2*$A183</f>
        <v>-3.1871112763275686</v>
      </c>
      <c r="M183" s="1">
        <f t="shared" si="67"/>
        <v>-2.803092128102314</v>
      </c>
      <c r="N183" s="1">
        <f t="shared" si="68"/>
        <v>-2.4048795898512223</v>
      </c>
      <c r="O183" s="1">
        <f t="shared" si="69"/>
        <v>-2.813650401776985</v>
      </c>
      <c r="P183" s="1">
        <v>0</v>
      </c>
      <c r="Q183" s="1">
        <f t="shared" si="70"/>
        <v>-35.623087943032687</v>
      </c>
      <c r="R183" s="54">
        <f t="shared" si="71"/>
        <v>0</v>
      </c>
      <c r="S183" s="54"/>
      <c r="T183" s="1"/>
    </row>
    <row r="184" spans="1:20" x14ac:dyDescent="0.25">
      <c r="A184" s="1">
        <f>Calculate[[#This Row],[Freq]]</f>
        <v>8235000000</v>
      </c>
      <c r="B184">
        <v>-2.681356048309389</v>
      </c>
      <c r="C184">
        <v>-35.807660745528686</v>
      </c>
      <c r="E184" s="1">
        <f t="shared" si="60"/>
        <v>-3.718995499536712</v>
      </c>
      <c r="F184" s="1">
        <f t="shared" si="61"/>
        <v>-3.3758547799241927</v>
      </c>
      <c r="G184" s="1">
        <f t="shared" si="62"/>
        <v>-3.0924223852030113</v>
      </c>
      <c r="H184" s="1">
        <f t="shared" si="63"/>
        <v>-3.7143737011456035</v>
      </c>
      <c r="I184" s="1">
        <f t="shared" si="64"/>
        <v>-2.9653291894145224</v>
      </c>
      <c r="J184" s="1">
        <f t="shared" si="65"/>
        <v>-2.681356048309389</v>
      </c>
      <c r="K184" s="1">
        <f t="shared" si="66"/>
        <v>-4.3073810370710914</v>
      </c>
      <c r="L184" s="1">
        <f>AC$3*(((1+AC$5*(T-20))*$A184)^AC$4) + AC$2*$A184</f>
        <v>-3.1980933160693858</v>
      </c>
      <c r="M184" s="1">
        <f t="shared" si="67"/>
        <v>-2.8125349533315211</v>
      </c>
      <c r="N184" s="1">
        <f t="shared" si="68"/>
        <v>-2.4127325983971555</v>
      </c>
      <c r="O184" s="1">
        <f t="shared" si="69"/>
        <v>-2.822317497471873</v>
      </c>
      <c r="P184" s="1">
        <v>0</v>
      </c>
      <c r="Q184" s="1">
        <f t="shared" si="70"/>
        <v>-35.807660745528686</v>
      </c>
      <c r="R184" s="54">
        <f t="shared" si="71"/>
        <v>0</v>
      </c>
      <c r="S184" s="54"/>
      <c r="T184" s="1"/>
    </row>
    <row r="185" spans="1:20" x14ac:dyDescent="0.25">
      <c r="A185" s="1">
        <f>Calculate[[#This Row],[Freq]]</f>
        <v>8280000000</v>
      </c>
      <c r="B185">
        <v>-2.6907491865628397</v>
      </c>
      <c r="C185">
        <v>-35.992203185179321</v>
      </c>
      <c r="E185" s="1">
        <f t="shared" si="60"/>
        <v>-3.7314309124709042</v>
      </c>
      <c r="F185" s="1">
        <f t="shared" si="61"/>
        <v>-3.3870556191793044</v>
      </c>
      <c r="G185" s="1">
        <f t="shared" si="62"/>
        <v>-3.1036434770598449</v>
      </c>
      <c r="H185" s="1">
        <f t="shared" si="63"/>
        <v>-3.7291672882728468</v>
      </c>
      <c r="I185" s="1">
        <f t="shared" si="64"/>
        <v>-2.9744122626082348</v>
      </c>
      <c r="J185" s="1">
        <f t="shared" si="65"/>
        <v>-2.6907491865628397</v>
      </c>
      <c r="K185" s="1">
        <f t="shared" si="66"/>
        <v>-4.3265486496952903</v>
      </c>
      <c r="L185" s="1">
        <f>AC$3*(((1+AC$5*(T-20))*$A185)^AC$4) + AC$2*$A185</f>
        <v>-3.2090575884651784</v>
      </c>
      <c r="M185" s="1">
        <f t="shared" si="67"/>
        <v>-2.8219615643452443</v>
      </c>
      <c r="N185" s="1">
        <f t="shared" si="68"/>
        <v>-2.4205710203703443</v>
      </c>
      <c r="O185" s="1">
        <f t="shared" si="69"/>
        <v>-2.8309661102866892</v>
      </c>
      <c r="P185" s="1">
        <v>0</v>
      </c>
      <c r="Q185" s="1">
        <f t="shared" si="70"/>
        <v>-35.992203185179321</v>
      </c>
      <c r="R185" s="54">
        <f t="shared" si="71"/>
        <v>0</v>
      </c>
      <c r="S185" s="54"/>
      <c r="T185" s="1"/>
    </row>
    <row r="186" spans="1:20" x14ac:dyDescent="0.25">
      <c r="A186" s="1">
        <f>Calculate[[#This Row],[Freq]]</f>
        <v>8325000000</v>
      </c>
      <c r="B186">
        <v>-2.7001280919827839</v>
      </c>
      <c r="C186">
        <v>-36.17671550917423</v>
      </c>
      <c r="E186" s="1">
        <f t="shared" si="60"/>
        <v>-3.7438471177173227</v>
      </c>
      <c r="F186" s="1">
        <f t="shared" si="61"/>
        <v>-3.3982368471011384</v>
      </c>
      <c r="G186" s="1">
        <f t="shared" si="62"/>
        <v>-3.1148492039947651</v>
      </c>
      <c r="H186" s="1">
        <f t="shared" si="63"/>
        <v>-3.7439459809858704</v>
      </c>
      <c r="I186" s="1">
        <f t="shared" si="64"/>
        <v>-2.9834779937430236</v>
      </c>
      <c r="J186" s="1">
        <f t="shared" si="65"/>
        <v>-2.7001280919827839</v>
      </c>
      <c r="K186" s="1">
        <f t="shared" si="66"/>
        <v>-4.3457044356664998</v>
      </c>
      <c r="L186" s="1">
        <f>AC$3*(((1+AC$5*(T-20))*$A186)^AC$4) + AC$2*$A186</f>
        <v>-3.2200042381622493</v>
      </c>
      <c r="M186" s="1">
        <f t="shared" si="67"/>
        <v>-2.8313720931464594</v>
      </c>
      <c r="N186" s="1">
        <f t="shared" si="68"/>
        <v>-2.4283949745228197</v>
      </c>
      <c r="O186" s="1">
        <f t="shared" si="69"/>
        <v>-2.8395963906940325</v>
      </c>
      <c r="P186" s="1">
        <v>0</v>
      </c>
      <c r="Q186" s="1">
        <f t="shared" si="70"/>
        <v>-36.17671550917423</v>
      </c>
      <c r="R186" s="54">
        <f t="shared" si="71"/>
        <v>0</v>
      </c>
      <c r="S186" s="54"/>
      <c r="T186" s="1"/>
    </row>
    <row r="187" spans="1:20" x14ac:dyDescent="0.25">
      <c r="A187" s="1">
        <f>Calculate[[#This Row],[Freq]]</f>
        <v>8370000000</v>
      </c>
      <c r="B187">
        <v>-2.7094928798158904</v>
      </c>
      <c r="C187">
        <v>-36.361197961367083</v>
      </c>
      <c r="E187" s="1">
        <f t="shared" si="60"/>
        <v>-3.7562442759678198</v>
      </c>
      <c r="F187" s="1">
        <f t="shared" si="61"/>
        <v>-3.4093986224873674</v>
      </c>
      <c r="G187" s="1">
        <f t="shared" si="62"/>
        <v>-3.1260396904212326</v>
      </c>
      <c r="H187" s="1">
        <f t="shared" si="63"/>
        <v>-3.7587098998883213</v>
      </c>
      <c r="I187" s="1">
        <f t="shared" si="64"/>
        <v>-2.9925265279028554</v>
      </c>
      <c r="J187" s="1">
        <f t="shared" si="65"/>
        <v>-2.7094928798158904</v>
      </c>
      <c r="K187" s="1">
        <f t="shared" si="66"/>
        <v>-4.3648484907479661</v>
      </c>
      <c r="L187" s="1">
        <f>AC$3*(((1+AC$5*(T-20))*$A187)^AC$4) + AC$2*$A187</f>
        <v>-3.2309334078558205</v>
      </c>
      <c r="M187" s="1">
        <f t="shared" si="67"/>
        <v>-2.8407666699567007</v>
      </c>
      <c r="N187" s="1">
        <f t="shared" si="68"/>
        <v>-2.4362045780039967</v>
      </c>
      <c r="O187" s="1">
        <f t="shared" si="69"/>
        <v>-2.8482084871358069</v>
      </c>
      <c r="P187" s="1">
        <v>0</v>
      </c>
      <c r="Q187" s="1">
        <f t="shared" si="70"/>
        <v>-36.361197961367083</v>
      </c>
      <c r="R187" s="54">
        <f t="shared" si="71"/>
        <v>0</v>
      </c>
      <c r="S187" s="54"/>
      <c r="T187" s="1"/>
    </row>
    <row r="188" spans="1:20" x14ac:dyDescent="0.25">
      <c r="A188" s="1">
        <f>Calculate[[#This Row],[Freq]]</f>
        <v>8415000000</v>
      </c>
      <c r="B188">
        <v>-2.7188436637618736</v>
      </c>
      <c r="C188">
        <v>-36.545650782338349</v>
      </c>
      <c r="E188" s="1">
        <f t="shared" si="60"/>
        <v>-3.7686225457144484</v>
      </c>
      <c r="F188" s="1">
        <f t="shared" si="61"/>
        <v>-3.4205411020041243</v>
      </c>
      <c r="G188" s="1">
        <f t="shared" si="62"/>
        <v>-3.1372150590827079</v>
      </c>
      <c r="H188" s="1">
        <f t="shared" si="63"/>
        <v>-3.7734591639649846</v>
      </c>
      <c r="I188" s="1">
        <f t="shared" si="64"/>
        <v>-3.0015580081855666</v>
      </c>
      <c r="J188" s="1">
        <f t="shared" si="65"/>
        <v>-2.7188436637618736</v>
      </c>
      <c r="K188" s="1">
        <f t="shared" si="66"/>
        <v>-4.3839809094175086</v>
      </c>
      <c r="L188" s="1">
        <f>AC$3*(((1+AC$5*(T-20))*$A188)^AC$4) + AC$2*$A188</f>
        <v>-3.2418452383257148</v>
      </c>
      <c r="M188" s="1">
        <f t="shared" si="67"/>
        <v>-2.8501454232495407</v>
      </c>
      <c r="N188" s="1">
        <f t="shared" si="68"/>
        <v>-2.443999946390798</v>
      </c>
      <c r="O188" s="1">
        <f t="shared" si="69"/>
        <v>-2.8568025460613815</v>
      </c>
      <c r="P188" s="1">
        <v>0</v>
      </c>
      <c r="Q188" s="1">
        <f t="shared" si="70"/>
        <v>-36.545650782338349</v>
      </c>
      <c r="R188" s="54">
        <f t="shared" si="71"/>
        <v>0</v>
      </c>
      <c r="S188" s="54"/>
      <c r="T188" s="1"/>
    </row>
    <row r="189" spans="1:20" x14ac:dyDescent="0.25">
      <c r="A189" s="1">
        <f>Calculate[[#This Row],[Freq]]</f>
        <v>8460000000</v>
      </c>
      <c r="B189">
        <v>-2.7281805560024091</v>
      </c>
      <c r="C189">
        <v>-36.730074209456411</v>
      </c>
      <c r="E189" s="1">
        <f t="shared" si="60"/>
        <v>-3.78098208329116</v>
      </c>
      <c r="F189" s="1">
        <f t="shared" si="61"/>
        <v>-3.4316644402258465</v>
      </c>
      <c r="G189" s="1">
        <f t="shared" si="62"/>
        <v>-3.1483754310838656</v>
      </c>
      <c r="H189" s="1">
        <f t="shared" si="63"/>
        <v>-3.7881938906120443</v>
      </c>
      <c r="I189" s="1">
        <f t="shared" si="64"/>
        <v>-3.010572575740504</v>
      </c>
      <c r="J189" s="1">
        <f t="shared" si="65"/>
        <v>-2.7281805560024091</v>
      </c>
      <c r="K189" s="1">
        <f t="shared" si="66"/>
        <v>-4.403101784891545</v>
      </c>
      <c r="L189" s="1">
        <f>AC$3*(((1+AC$5*(T-20))*$A189)^AC$4) + AC$2*$A189</f>
        <v>-3.2527398684721653</v>
      </c>
      <c r="M189" s="1">
        <f t="shared" si="67"/>
        <v>-2.8595084797832628</v>
      </c>
      <c r="N189" s="1">
        <f t="shared" si="68"/>
        <v>-2.4517811937170428</v>
      </c>
      <c r="O189" s="1">
        <f t="shared" si="69"/>
        <v>-2.8653787119648366</v>
      </c>
      <c r="P189" s="1">
        <v>0</v>
      </c>
      <c r="Q189" s="1">
        <f t="shared" si="70"/>
        <v>-36.730074209456411</v>
      </c>
      <c r="R189" s="54">
        <f t="shared" si="71"/>
        <v>0</v>
      </c>
      <c r="S189" s="54"/>
      <c r="T189" s="1"/>
    </row>
    <row r="190" spans="1:20" x14ac:dyDescent="0.25">
      <c r="A190" s="1">
        <f>Calculate[[#This Row],[Freq]]</f>
        <v>8505000000</v>
      </c>
      <c r="B190">
        <v>-2.7375036672293565</v>
      </c>
      <c r="C190">
        <v>-36.914468476937301</v>
      </c>
      <c r="E190" s="1">
        <f t="shared" si="60"/>
        <v>-3.7933230429144729</v>
      </c>
      <c r="F190" s="1">
        <f t="shared" si="61"/>
        <v>-3.4427687896741626</v>
      </c>
      <c r="G190" s="1">
        <f t="shared" si="62"/>
        <v>-3.1595209259210657</v>
      </c>
      <c r="H190" s="1">
        <f t="shared" si="63"/>
        <v>-3.8029141956666193</v>
      </c>
      <c r="I190" s="1">
        <f t="shared" si="64"/>
        <v>-3.0195703698052467</v>
      </c>
      <c r="J190" s="1">
        <f t="shared" si="65"/>
        <v>-2.7375036672293565</v>
      </c>
      <c r="K190" s="1">
        <f t="shared" si="66"/>
        <v>-4.4222112091485428</v>
      </c>
      <c r="L190" s="1">
        <f>AC$3*(((1+AC$5*(T-20))*$A190)^AC$4) + AC$2*$A190</f>
        <v>-3.263617435350755</v>
      </c>
      <c r="M190" s="1">
        <f t="shared" si="67"/>
        <v>-2.8688559646327523</v>
      </c>
      <c r="N190" s="1">
        <f t="shared" si="68"/>
        <v>-2.4595484325021379</v>
      </c>
      <c r="O190" s="1">
        <f t="shared" si="69"/>
        <v>-2.873937127421315</v>
      </c>
      <c r="P190" s="1">
        <v>0</v>
      </c>
      <c r="Q190" s="1">
        <f t="shared" si="70"/>
        <v>-36.914468476937301</v>
      </c>
      <c r="R190" s="54">
        <f t="shared" si="71"/>
        <v>0</v>
      </c>
      <c r="S190" s="54"/>
      <c r="T190" s="1"/>
    </row>
    <row r="191" spans="1:20" x14ac:dyDescent="0.25">
      <c r="A191" s="1">
        <f>Calculate[[#This Row],[Freq]]</f>
        <v>8550000000</v>
      </c>
      <c r="B191">
        <v>-2.7468131066723136</v>
      </c>
      <c r="C191">
        <v>-37.098833815903028</v>
      </c>
      <c r="E191" s="1">
        <f t="shared" si="60"/>
        <v>-3.8056455767232227</v>
      </c>
      <c r="F191" s="1">
        <f t="shared" si="61"/>
        <v>-3.4538543008558604</v>
      </c>
      <c r="G191" s="1">
        <f t="shared" si="62"/>
        <v>-3.1706516615120952</v>
      </c>
      <c r="H191" s="1">
        <f t="shared" si="63"/>
        <v>-3.817620193435594</v>
      </c>
      <c r="I191" s="1">
        <f t="shared" si="64"/>
        <v>-3.0285515277414943</v>
      </c>
      <c r="J191" s="1">
        <f t="shared" si="65"/>
        <v>-2.7468131066723136</v>
      </c>
      <c r="K191" s="1">
        <f t="shared" si="66"/>
        <v>-4.4413092729519148</v>
      </c>
      <c r="L191" s="1">
        <f>AC$3*(((1+AC$5*(T-20))*$A191)^AC$4) + AC$2*$A191</f>
        <v>-3.2744780742065349</v>
      </c>
      <c r="M191" s="1">
        <f t="shared" si="67"/>
        <v>-2.8781880012206291</v>
      </c>
      <c r="N191" s="1">
        <f t="shared" si="68"/>
        <v>-2.4673017737790861</v>
      </c>
      <c r="O191" s="1">
        <f t="shared" si="69"/>
        <v>-2.8824779331225145</v>
      </c>
      <c r="P191" s="1">
        <v>0</v>
      </c>
      <c r="Q191" s="1">
        <f t="shared" si="70"/>
        <v>-37.098833815903028</v>
      </c>
      <c r="R191" s="54">
        <f t="shared" si="71"/>
        <v>0</v>
      </c>
      <c r="S191" s="54"/>
      <c r="T191" s="1"/>
    </row>
    <row r="192" spans="1:20" x14ac:dyDescent="0.25">
      <c r="A192" s="1">
        <f>Calculate[[#This Row],[Freq]]</f>
        <v>8595000000</v>
      </c>
      <c r="B192">
        <v>-2.7561089821255189</v>
      </c>
      <c r="C192">
        <v>-37.283170454438476</v>
      </c>
      <c r="E192" s="1">
        <f t="shared" si="60"/>
        <v>-3.8179498348172922</v>
      </c>
      <c r="F192" s="1">
        <f t="shared" si="61"/>
        <v>-3.4649211222999545</v>
      </c>
      <c r="G192" s="1">
        <f t="shared" si="62"/>
        <v>-3.1817677542252141</v>
      </c>
      <c r="H192" s="1">
        <f t="shared" si="63"/>
        <v>-3.8323119967237766</v>
      </c>
      <c r="I192" s="1">
        <f t="shared" si="64"/>
        <v>-3.0375161850700376</v>
      </c>
      <c r="J192" s="1">
        <f t="shared" si="65"/>
        <v>-2.7561089821255189</v>
      </c>
      <c r="K192" s="1">
        <f t="shared" si="66"/>
        <v>-4.4603960658723745</v>
      </c>
      <c r="L192" s="1">
        <f>AC$3*(((1+AC$5*(T-20))*$A192)^AC$4) + AC$2*$A192</f>
        <v>-3.2853219185073339</v>
      </c>
      <c r="M192" s="1">
        <f t="shared" si="67"/>
        <v>-2.8875047113476464</v>
      </c>
      <c r="N192" s="1">
        <f t="shared" si="68"/>
        <v>-2.4750413271218319</v>
      </c>
      <c r="O192" s="1">
        <f t="shared" si="69"/>
        <v>-2.8910012679113359</v>
      </c>
      <c r="P192" s="1">
        <v>0</v>
      </c>
      <c r="Q192" s="1">
        <f t="shared" si="70"/>
        <v>-37.283170454438476</v>
      </c>
      <c r="R192" s="54">
        <f t="shared" si="71"/>
        <v>0</v>
      </c>
      <c r="S192" s="54"/>
      <c r="T192" s="1"/>
    </row>
    <row r="193" spans="1:20" x14ac:dyDescent="0.25">
      <c r="A193" s="1">
        <f>Calculate[[#This Row],[Freq]]</f>
        <v>8640000000</v>
      </c>
      <c r="B193">
        <v>-2.7653913999741189</v>
      </c>
      <c r="C193">
        <v>-37.467478617646989</v>
      </c>
      <c r="E193" s="1">
        <f t="shared" si="60"/>
        <v>-3.8302359652954872</v>
      </c>
      <c r="F193" s="1">
        <f t="shared" si="61"/>
        <v>-3.4759694005938795</v>
      </c>
      <c r="G193" s="1">
        <f t="shared" si="62"/>
        <v>-3.1928693189075075</v>
      </c>
      <c r="H193" s="1">
        <f t="shared" si="63"/>
        <v>-3.8469897168613825</v>
      </c>
      <c r="I193" s="1">
        <f t="shared" si="64"/>
        <v>-3.0464644755049517</v>
      </c>
      <c r="J193" s="1">
        <f t="shared" si="65"/>
        <v>-2.7653913999741189</v>
      </c>
      <c r="K193" s="1">
        <f t="shared" si="66"/>
        <v>-4.4794716763097622</v>
      </c>
      <c r="L193" s="1">
        <f>AC$3*(((1+AC$5*(T-20))*$A193)^AC$4) + AC$2*$A193</f>
        <v>-3.2961490999762812</v>
      </c>
      <c r="M193" s="1">
        <f t="shared" si="67"/>
        <v>-2.8968062152223721</v>
      </c>
      <c r="N193" s="1">
        <f t="shared" si="68"/>
        <v>-2.4827672006719634</v>
      </c>
      <c r="O193" s="1">
        <f t="shared" si="69"/>
        <v>-2.8995072688157189</v>
      </c>
      <c r="P193" s="1">
        <v>0</v>
      </c>
      <c r="Q193" s="1">
        <f t="shared" si="70"/>
        <v>-37.467478617646989</v>
      </c>
      <c r="R193" s="54">
        <f t="shared" si="71"/>
        <v>0</v>
      </c>
      <c r="S193" s="54"/>
      <c r="T193" s="1"/>
    </row>
    <row r="194" spans="1:20" x14ac:dyDescent="0.25">
      <c r="A194" s="1">
        <f>Calculate[[#This Row],[Freq]]</f>
        <v>8685000000</v>
      </c>
      <c r="B194">
        <v>-2.7746604652198195</v>
      </c>
      <c r="C194">
        <v>-37.651758527704651</v>
      </c>
      <c r="E194" s="1">
        <f t="shared" ref="E194:E201" si="72">V$3*(((1+V$5*(T-20))*$A194)^V$4) + V$2*$A194</f>
        <v>-3.8425041142924465</v>
      </c>
      <c r="F194" s="1">
        <f t="shared" ref="F194:F201" si="73">W$3*(((1+W$5*(T-20))*$A194)^W$4) + W$2*$A194</f>
        <v>-3.4869992804188388</v>
      </c>
      <c r="G194" s="1">
        <f t="shared" ref="G194:G201" si="74">X$3*(((1+X$5*(T-20))*$A194)^X$4) + X$2*$A194</f>
        <v>-3.203956468912585</v>
      </c>
      <c r="H194" s="1">
        <f t="shared" ref="H194:H201" si="75">Y$3*(((1+Y$5*(T-20))*$A194)^Y$4) + Y$2*$A194</f>
        <v>-3.8616534637308826</v>
      </c>
      <c r="I194" s="1">
        <f t="shared" ref="I194:I201" si="76">Z$3*(((1+Z$5*(T-20))*$A194)^Z$4) + Z$2*$A194</f>
        <v>-3.0553965309869242</v>
      </c>
      <c r="J194" s="1">
        <f t="shared" ref="J194:J201" si="77">AA$3*(((1+AA$5*(T-20))*$A194)^AA$4) + AA$2*$A194</f>
        <v>-2.7746604652198195</v>
      </c>
      <c r="K194" s="1">
        <f t="shared" ref="K194:K201" si="78">AB$3*(((1+AB$5*(T-20))*$A194)^AB$4) + AB$2*$A194</f>
        <v>-4.4985361915143613</v>
      </c>
      <c r="L194" s="1">
        <f>AC$3*(((1+AC$5*(T-20))*$A194)^AC$4) + AC$2*$A194</f>
        <v>-3.306959748623572</v>
      </c>
      <c r="M194" s="1">
        <f t="shared" ref="M194:M201" si="79">AD$3*(((1+AD$5*(T-20))*$A194)^AD$4) + AD$2*$A194</f>
        <v>-2.9060926314901745</v>
      </c>
      <c r="N194" s="1">
        <f t="shared" ref="N194:N201" si="80">AE$3*(((1+AE$5*(T-20))*$A194)^AE$4) + AE$2*$A194</f>
        <v>-2.4904795011647898</v>
      </c>
      <c r="O194" s="1">
        <f t="shared" ref="O194:O201" si="81">AF$3*(((1+AF$5*(T-20))*$A194)^AF$4) + AF$2*$A194</f>
        <v>-2.9079960710816826</v>
      </c>
      <c r="P194" s="1">
        <v>0</v>
      </c>
      <c r="Q194" s="1">
        <f t="shared" ref="Q194:Q201" si="82">AG$3*(((1+AG$5*(T-20))*$A194)^AG$4) + AG$2*$A194</f>
        <v>-37.651758527704651</v>
      </c>
      <c r="R194" s="54">
        <f t="shared" ref="R194:R201" si="83">AH$3*(((1+AH$5*(T-20))*$A194)^AH$4) + AH$2*$A194</f>
        <v>0</v>
      </c>
      <c r="S194" s="54"/>
      <c r="T194" s="1"/>
    </row>
    <row r="195" spans="1:20" x14ac:dyDescent="0.25">
      <c r="A195" s="1">
        <f>Calculate[[#This Row],[Freq]]</f>
        <v>8730000000</v>
      </c>
      <c r="B195">
        <v>-2.7839162815059471</v>
      </c>
      <c r="C195">
        <v>-37.836010403913306</v>
      </c>
      <c r="E195" s="1">
        <f t="shared" si="72"/>
        <v>-3.8547544260147553</v>
      </c>
      <c r="F195" s="1">
        <f t="shared" si="73"/>
        <v>-3.4980109045843286</v>
      </c>
      <c r="G195" s="1">
        <f t="shared" si="74"/>
        <v>-3.2150293161276249</v>
      </c>
      <c r="H195" s="1">
        <f t="shared" si="75"/>
        <v>-3.8763033457932266</v>
      </c>
      <c r="I195" s="1">
        <f t="shared" si="76"/>
        <v>-3.0643124817158571</v>
      </c>
      <c r="J195" s="1">
        <f t="shared" si="77"/>
        <v>-2.7839162815059471</v>
      </c>
      <c r="K195" s="1">
        <f t="shared" si="78"/>
        <v>-4.5175896976077174</v>
      </c>
      <c r="L195" s="1">
        <f>AC$3*(((1+AC$5*(T-20))*$A195)^AC$4) + AC$2*$A195</f>
        <v>-3.3177539927774893</v>
      </c>
      <c r="M195" s="1">
        <f t="shared" si="79"/>
        <v>-2.9153640772615343</v>
      </c>
      <c r="N195" s="1">
        <f t="shared" si="80"/>
        <v>-2.4981783339548085</v>
      </c>
      <c r="O195" s="1">
        <f t="shared" si="81"/>
        <v>-2.9164678082056019</v>
      </c>
      <c r="P195" s="1">
        <v>0</v>
      </c>
      <c r="Q195" s="1">
        <f t="shared" si="82"/>
        <v>-37.836010403913306</v>
      </c>
      <c r="R195" s="54">
        <f t="shared" si="83"/>
        <v>0</v>
      </c>
      <c r="S195" s="54"/>
      <c r="T195" s="1"/>
    </row>
    <row r="196" spans="1:20" x14ac:dyDescent="0.25">
      <c r="A196" s="1">
        <f>Calculate[[#This Row],[Freq]]</f>
        <v>8775000000</v>
      </c>
      <c r="B196">
        <v>-2.7931589511419199</v>
      </c>
      <c r="C196">
        <v>-38.02023446275237</v>
      </c>
      <c r="E196" s="1">
        <f t="shared" si="72"/>
        <v>-3.8669870427761586</v>
      </c>
      <c r="F196" s="1">
        <f t="shared" si="73"/>
        <v>-3.5090044140618648</v>
      </c>
      <c r="G196" s="1">
        <f t="shared" si="74"/>
        <v>-3.2260879709998012</v>
      </c>
      <c r="H196" s="1">
        <f t="shared" si="75"/>
        <v>-3.8909394701134512</v>
      </c>
      <c r="I196" s="1">
        <f t="shared" si="76"/>
        <v>-3.0732124561826653</v>
      </c>
      <c r="J196" s="1">
        <f t="shared" si="77"/>
        <v>-2.7931589511419199</v>
      </c>
      <c r="K196" s="1">
        <f t="shared" si="78"/>
        <v>-4.5366322796029817</v>
      </c>
      <c r="L196" s="1">
        <f>AC$3*(((1+AC$5*(T-20))*$A196)^AC$4) + AC$2*$A196</f>
        <v>-3.3285319591147111</v>
      </c>
      <c r="M196" s="1">
        <f t="shared" si="79"/>
        <v>-2.9246206681397018</v>
      </c>
      <c r="N196" s="1">
        <f t="shared" si="80"/>
        <v>-2.5058638030405911</v>
      </c>
      <c r="O196" s="1">
        <f t="shared" si="81"/>
        <v>-2.9249226119657306</v>
      </c>
      <c r="P196" s="1">
        <v>0</v>
      </c>
      <c r="Q196" s="1">
        <f t="shared" si="82"/>
        <v>-38.02023446275237</v>
      </c>
      <c r="R196" s="54">
        <f t="shared" si="83"/>
        <v>0</v>
      </c>
      <c r="S196" s="54"/>
      <c r="T196" s="1"/>
    </row>
    <row r="197" spans="1:20" x14ac:dyDescent="0.25">
      <c r="A197" s="1">
        <f>Calculate[[#This Row],[Freq]]</f>
        <v>8820000000</v>
      </c>
      <c r="B197">
        <v>-2.8023885751271624</v>
      </c>
      <c r="C197">
        <v>-38.204430917929372</v>
      </c>
      <c r="E197" s="1">
        <f t="shared" si="72"/>
        <v>-3.8792021050319638</v>
      </c>
      <c r="F197" s="1">
        <f t="shared" si="73"/>
        <v>-3.5199799480179292</v>
      </c>
      <c r="G197" s="1">
        <f t="shared" si="74"/>
        <v>-3.2371325425620947</v>
      </c>
      <c r="H197" s="1">
        <f t="shared" si="75"/>
        <v>-3.9055619423857086</v>
      </c>
      <c r="I197" s="1">
        <f t="shared" si="76"/>
        <v>-3.0820965812003336</v>
      </c>
      <c r="J197" s="1">
        <f t="shared" si="77"/>
        <v>-2.8023885751271624</v>
      </c>
      <c r="K197" s="1">
        <f t="shared" si="78"/>
        <v>-4.5556640214247732</v>
      </c>
      <c r="L197" s="1">
        <f>AC$3*(((1+AC$5*(T-20))*$A197)^AC$4) + AC$2*$A197</f>
        <v>-3.3392937726899166</v>
      </c>
      <c r="M197" s="1">
        <f t="shared" si="79"/>
        <v>-2.9338625182477158</v>
      </c>
      <c r="N197" s="1">
        <f t="shared" si="80"/>
        <v>-2.5135360110890841</v>
      </c>
      <c r="O197" s="1">
        <f t="shared" si="81"/>
        <v>-2.9333606124530025</v>
      </c>
      <c r="P197" s="1">
        <v>0</v>
      </c>
      <c r="Q197" s="1">
        <f t="shared" si="82"/>
        <v>-38.204430917929372</v>
      </c>
      <c r="R197" s="54">
        <f t="shared" si="83"/>
        <v>0</v>
      </c>
      <c r="S197" s="54"/>
      <c r="T197" s="1"/>
    </row>
    <row r="198" spans="1:20" x14ac:dyDescent="0.25">
      <c r="A198" s="1">
        <f>Calculate[[#This Row],[Freq]]</f>
        <v>8865000000</v>
      </c>
      <c r="B198">
        <v>-2.8116052531744655</v>
      </c>
      <c r="C198">
        <v>-38.38859998042944</v>
      </c>
      <c r="E198" s="1">
        <f t="shared" si="72"/>
        <v>-3.8913997514126848</v>
      </c>
      <c r="F198" s="1">
        <f t="shared" si="73"/>
        <v>-3.530937643846161</v>
      </c>
      <c r="G198" s="1">
        <f t="shared" si="74"/>
        <v>-3.2481631384585143</v>
      </c>
      <c r="H198" s="1">
        <f t="shared" si="75"/>
        <v>-3.9201708669577107</v>
      </c>
      <c r="I198" s="1">
        <f t="shared" si="76"/>
        <v>-3.090964981934293</v>
      </c>
      <c r="J198" s="1">
        <f t="shared" si="77"/>
        <v>-2.8116052531744655</v>
      </c>
      <c r="K198" s="1">
        <f t="shared" si="78"/>
        <v>-4.5746850059285942</v>
      </c>
      <c r="L198" s="1">
        <f>AC$3*(((1+AC$5*(T-20))*$A198)^AC$4) + AC$2*$A198</f>
        <v>-3.3500395569647115</v>
      </c>
      <c r="M198" s="1">
        <f t="shared" si="79"/>
        <v>-2.9430897402547993</v>
      </c>
      <c r="N198" s="1">
        <f t="shared" si="80"/>
        <v>-2.5211950594593588</v>
      </c>
      <c r="O198" s="1">
        <f t="shared" si="81"/>
        <v>-2.9417819381011219</v>
      </c>
      <c r="P198" s="1">
        <v>0</v>
      </c>
      <c r="Q198" s="1">
        <f t="shared" si="82"/>
        <v>-38.38859998042944</v>
      </c>
      <c r="R198" s="54">
        <f t="shared" si="83"/>
        <v>0</v>
      </c>
      <c r="S198" s="54"/>
      <c r="T198" s="1"/>
    </row>
    <row r="199" spans="1:20" x14ac:dyDescent="0.25">
      <c r="A199" s="1">
        <f>Calculate[[#This Row],[Freq]]</f>
        <v>8910000000</v>
      </c>
      <c r="B199">
        <v>-2.8208090837328221</v>
      </c>
      <c r="C199">
        <v>-38.572741858563589</v>
      </c>
      <c r="E199" s="1">
        <f t="shared" si="72"/>
        <v>-3.903580118756846</v>
      </c>
      <c r="F199" s="1">
        <f t="shared" si="73"/>
        <v>-3.5418776371988177</v>
      </c>
      <c r="G199" s="1">
        <f t="shared" si="74"/>
        <v>-3.2591798649687469</v>
      </c>
      <c r="H199" s="1">
        <f t="shared" si="75"/>
        <v>-3.9347663468546266</v>
      </c>
      <c r="I199" s="1">
        <f t="shared" si="76"/>
        <v>-3.0998177819320425</v>
      </c>
      <c r="J199" s="1">
        <f t="shared" si="77"/>
        <v>-2.8208090837328221</v>
      </c>
      <c r="K199" s="1">
        <f t="shared" si="78"/>
        <v>-4.5936953149198061</v>
      </c>
      <c r="L199" s="1">
        <f>AC$3*(((1+AC$5*(T-20))*$A199)^AC$4) + AC$2*$A199</f>
        <v>-3.3607694338359</v>
      </c>
      <c r="M199" s="1">
        <f t="shared" si="79"/>
        <v>-2.9523024454021627</v>
      </c>
      <c r="N199" s="1">
        <f t="shared" si="80"/>
        <v>-2.5288410482258215</v>
      </c>
      <c r="O199" s="1">
        <f t="shared" si="81"/>
        <v>-2.9501867157159722</v>
      </c>
      <c r="P199" s="1">
        <v>0</v>
      </c>
      <c r="Q199" s="1">
        <f t="shared" si="82"/>
        <v>-38.572741858563589</v>
      </c>
      <c r="R199" s="54">
        <f t="shared" si="83"/>
        <v>0</v>
      </c>
      <c r="S199" s="54"/>
      <c r="T199" s="1"/>
    </row>
    <row r="200" spans="1:20" x14ac:dyDescent="0.25">
      <c r="A200" s="1">
        <f>Calculate[[#This Row],[Freq]]</f>
        <v>8955000000</v>
      </c>
      <c r="B200">
        <v>-2.8300001640097325</v>
      </c>
      <c r="C200">
        <v>-38.756856758015914</v>
      </c>
      <c r="E200" s="1">
        <f t="shared" si="72"/>
        <v>-3.9157433421430921</v>
      </c>
      <c r="F200" s="1">
        <f t="shared" si="73"/>
        <v>-3.5528000620175129</v>
      </c>
      <c r="G200" s="1">
        <f t="shared" si="74"/>
        <v>-3.2701828270322366</v>
      </c>
      <c r="H200" s="1">
        <f t="shared" si="75"/>
        <v>-3.9493484838024249</v>
      </c>
      <c r="I200" s="1">
        <f t="shared" si="76"/>
        <v>-3.1086551031521337</v>
      </c>
      <c r="J200" s="1">
        <f t="shared" si="77"/>
        <v>-2.8300001640097325</v>
      </c>
      <c r="K200" s="1">
        <f t="shared" si="78"/>
        <v>-4.6126950291721611</v>
      </c>
      <c r="L200" s="1">
        <f>AC$3*(((1+AC$5*(T-20))*$A200)^AC$4) + AC$2*$A200</f>
        <v>-3.371483523663108</v>
      </c>
      <c r="M200" s="1">
        <f t="shared" si="79"/>
        <v>-2.961500743528207</v>
      </c>
      <c r="N200" s="1">
        <f t="shared" si="80"/>
        <v>-2.536474076200891</v>
      </c>
      <c r="O200" s="1">
        <f t="shared" si="81"/>
        <v>-2.9585750705043532</v>
      </c>
      <c r="P200" s="1">
        <v>0</v>
      </c>
      <c r="Q200" s="1">
        <f t="shared" si="82"/>
        <v>-38.756856758015914</v>
      </c>
      <c r="R200" s="54">
        <f t="shared" si="83"/>
        <v>0</v>
      </c>
      <c r="S200" s="54"/>
      <c r="T200" s="1"/>
    </row>
    <row r="201" spans="1:20" x14ac:dyDescent="0.25">
      <c r="A201" s="1">
        <f>Calculate[[#This Row],[Freq]]</f>
        <v>9000000000</v>
      </c>
      <c r="B201">
        <v>-2.8391785899930184</v>
      </c>
      <c r="C201">
        <v>-38.94094488188977</v>
      </c>
      <c r="E201" s="1">
        <f t="shared" si="72"/>
        <v>-3.9278895549215216</v>
      </c>
      <c r="F201" s="1">
        <f t="shared" si="73"/>
        <v>-3.5637050505632728</v>
      </c>
      <c r="G201" s="1">
        <f t="shared" si="74"/>
        <v>-3.2811721282717365</v>
      </c>
      <c r="H201" s="1">
        <f t="shared" si="75"/>
        <v>-3.9639173782507018</v>
      </c>
      <c r="I201" s="1">
        <f t="shared" si="76"/>
        <v>-3.1174770659924684</v>
      </c>
      <c r="J201" s="1">
        <f t="shared" si="77"/>
        <v>-2.8391785899930184</v>
      </c>
      <c r="K201" s="1">
        <f t="shared" si="78"/>
        <v>-4.6316842284459305</v>
      </c>
      <c r="L201" s="1">
        <f>AC$3*(((1+AC$5*(T-20))*$A201)^AC$4) + AC$2*$A201</f>
        <v>-3.3821819452957866</v>
      </c>
      <c r="M201" s="1">
        <f t="shared" si="79"/>
        <v>-2.9706847430931722</v>
      </c>
      <c r="N201" s="1">
        <f t="shared" si="80"/>
        <v>-2.5440942409571679</v>
      </c>
      <c r="O201" s="1">
        <f t="shared" si="81"/>
        <v>-2.9669471261020699</v>
      </c>
      <c r="P201" s="1">
        <v>0</v>
      </c>
      <c r="Q201" s="1">
        <f t="shared" si="82"/>
        <v>-38.94094488188977</v>
      </c>
      <c r="R201" s="54">
        <f t="shared" si="83"/>
        <v>0</v>
      </c>
      <c r="S201" s="54"/>
      <c r="T201" s="1"/>
    </row>
  </sheetData>
  <sheetProtection algorithmName="SHA-512" hashValue="4cUoslH6h6DAKtssGTO4u49XGb9lThbCGP42M3E8y3f3q3aZETD+RshDcu5vwJg6aSlpqhGv/3lpdG+cyMyZKw==" saltValue="9g+6TOuw1beK9hgW2fHQwA==" spinCount="100000" sheet="1" insertColumns="0"/>
  <phoneticPr fontId="5" type="noConversion"/>
  <conditionalFormatting sqref="R1:S201">
    <cfRule type="expression" dxfId="4" priority="2">
      <formula>ISODD(ROW())</formula>
    </cfRule>
  </conditionalFormatting>
  <conditionalFormatting sqref="AH1:AI5">
    <cfRule type="expression" dxfId="3" priority="1">
      <formula>ISODD(ROW())</formula>
    </cfRule>
  </conditionalFormatting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98323-38C6-4A93-8F63-BC34642765E6}">
  <sheetPr>
    <outlinePr summaryBelow="0"/>
  </sheetPr>
  <dimension ref="B1:N43"/>
  <sheetViews>
    <sheetView showGridLines="0" topLeftCell="I8" workbookViewId="0">
      <selection activeCell="B2" sqref="B2:N40"/>
    </sheetView>
  </sheetViews>
  <sheetFormatPr defaultRowHeight="15" outlineLevelRow="1" outlineLevelCol="1" x14ac:dyDescent="0.25"/>
  <cols>
    <col min="3" max="3" width="23.28515625" bestFit="1" customWidth="1"/>
    <col min="4" max="14" width="37.42578125" bestFit="1" customWidth="1" outlineLevel="1"/>
  </cols>
  <sheetData>
    <row r="1" spans="2:14" ht="15.75" thickBot="1" x14ac:dyDescent="0.3"/>
    <row r="2" spans="2:14" ht="15.75" x14ac:dyDescent="0.25">
      <c r="B2" s="119" t="s">
        <v>195</v>
      </c>
      <c r="C2" s="119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</row>
    <row r="3" spans="2:14" ht="15.75" collapsed="1" x14ac:dyDescent="0.25">
      <c r="B3" s="118"/>
      <c r="C3" s="118"/>
      <c r="D3" s="125" t="s">
        <v>197</v>
      </c>
      <c r="E3" s="125" t="s">
        <v>202</v>
      </c>
      <c r="F3" s="125" t="s">
        <v>184</v>
      </c>
      <c r="G3" s="125" t="s">
        <v>188</v>
      </c>
      <c r="H3" s="125" t="s">
        <v>189</v>
      </c>
      <c r="I3" s="125" t="s">
        <v>191</v>
      </c>
      <c r="J3" s="125" t="s">
        <v>192</v>
      </c>
      <c r="K3" s="125" t="s">
        <v>194</v>
      </c>
      <c r="L3" s="125" t="s">
        <v>203</v>
      </c>
      <c r="M3" s="125" t="s">
        <v>205</v>
      </c>
      <c r="N3" s="125" t="s">
        <v>186</v>
      </c>
    </row>
    <row r="4" spans="2:14" ht="33.75" hidden="1" outlineLevel="1" x14ac:dyDescent="0.25">
      <c r="B4" s="121"/>
      <c r="C4" s="121"/>
      <c r="D4" s="111"/>
      <c r="E4" s="126" t="s">
        <v>183</v>
      </c>
      <c r="F4" s="126" t="s">
        <v>185</v>
      </c>
      <c r="G4" s="126" t="s">
        <v>187</v>
      </c>
      <c r="H4" s="126" t="s">
        <v>190</v>
      </c>
      <c r="I4" s="126" t="s">
        <v>207</v>
      </c>
      <c r="J4" s="126" t="s">
        <v>193</v>
      </c>
      <c r="K4" s="126" t="s">
        <v>190</v>
      </c>
      <c r="L4" s="126" t="s">
        <v>208</v>
      </c>
      <c r="M4" s="126" t="s">
        <v>204</v>
      </c>
      <c r="N4" s="126" t="s">
        <v>204</v>
      </c>
    </row>
    <row r="5" spans="2:14" x14ac:dyDescent="0.25">
      <c r="B5" s="122" t="s">
        <v>196</v>
      </c>
      <c r="C5" s="122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</row>
    <row r="6" spans="2:14" outlineLevel="1" x14ac:dyDescent="0.25">
      <c r="B6" s="121"/>
      <c r="C6" s="121" t="s">
        <v>150</v>
      </c>
      <c r="D6" s="111">
        <v>25</v>
      </c>
      <c r="E6" s="127">
        <v>25</v>
      </c>
      <c r="F6" s="127">
        <v>25</v>
      </c>
      <c r="G6" s="127">
        <v>25</v>
      </c>
      <c r="H6" s="127">
        <v>25</v>
      </c>
      <c r="I6" s="127">
        <v>25</v>
      </c>
      <c r="J6" s="127">
        <v>25</v>
      </c>
      <c r="K6" s="127">
        <v>25</v>
      </c>
      <c r="L6" s="127">
        <v>25</v>
      </c>
      <c r="M6" s="127">
        <v>25</v>
      </c>
      <c r="N6" s="127">
        <v>25</v>
      </c>
    </row>
    <row r="7" spans="2:14" outlineLevel="1" x14ac:dyDescent="0.25">
      <c r="B7" s="121"/>
      <c r="C7" s="121" t="s">
        <v>151</v>
      </c>
      <c r="D7" s="111">
        <v>25</v>
      </c>
      <c r="E7" s="127">
        <v>25</v>
      </c>
      <c r="F7" s="127">
        <v>25</v>
      </c>
      <c r="G7" s="127">
        <v>25</v>
      </c>
      <c r="H7" s="127">
        <v>25</v>
      </c>
      <c r="I7" s="127">
        <v>25</v>
      </c>
      <c r="J7" s="127">
        <v>25</v>
      </c>
      <c r="K7" s="127">
        <v>25</v>
      </c>
      <c r="L7" s="127">
        <v>25</v>
      </c>
      <c r="M7" s="127">
        <v>25</v>
      </c>
      <c r="N7" s="127">
        <v>25</v>
      </c>
    </row>
    <row r="8" spans="2:14" outlineLevel="1" x14ac:dyDescent="0.25">
      <c r="B8" s="121"/>
      <c r="C8" s="121" t="s">
        <v>152</v>
      </c>
      <c r="D8" s="112">
        <v>9.9999999999999998E-13</v>
      </c>
      <c r="E8" s="127">
        <v>9.9999999999999998E-13</v>
      </c>
      <c r="F8" s="127">
        <v>9.9999999999999998E-13</v>
      </c>
      <c r="G8" s="127">
        <v>9.9999999999999998E-13</v>
      </c>
      <c r="H8" s="127">
        <v>9.9999999999999998E-13</v>
      </c>
      <c r="I8" s="127">
        <v>9.9999999999999998E-13</v>
      </c>
      <c r="J8" s="127">
        <v>9.9999999999999998E-13</v>
      </c>
      <c r="K8" s="127">
        <v>9.9999999999999998E-13</v>
      </c>
      <c r="L8" s="127">
        <v>9.9999999999999998E-13</v>
      </c>
      <c r="M8" s="127">
        <v>9.9999999999999998E-13</v>
      </c>
      <c r="N8" s="127">
        <v>9.9999999999999998E-13</v>
      </c>
    </row>
    <row r="9" spans="2:14" outlineLevel="1" x14ac:dyDescent="0.25">
      <c r="B9" s="121"/>
      <c r="C9" s="121" t="s">
        <v>153</v>
      </c>
      <c r="D9" s="113">
        <v>11</v>
      </c>
      <c r="E9" s="127">
        <v>11</v>
      </c>
      <c r="F9" s="127">
        <v>10.5</v>
      </c>
      <c r="G9" s="127">
        <v>10</v>
      </c>
      <c r="H9" s="127">
        <v>8.75</v>
      </c>
      <c r="I9" s="127">
        <v>11</v>
      </c>
      <c r="J9" s="127">
        <v>8.15</v>
      </c>
      <c r="K9" s="127">
        <v>10</v>
      </c>
      <c r="L9" s="127">
        <v>9.3000000000000007</v>
      </c>
      <c r="M9" s="127">
        <v>11</v>
      </c>
      <c r="N9" s="127">
        <v>11</v>
      </c>
    </row>
    <row r="10" spans="2:14" outlineLevel="1" x14ac:dyDescent="0.25">
      <c r="B10" s="121"/>
      <c r="C10" s="121" t="s">
        <v>154</v>
      </c>
      <c r="D10" s="111" t="s">
        <v>140</v>
      </c>
      <c r="E10" s="127" t="s">
        <v>140</v>
      </c>
      <c r="F10" s="127" t="s">
        <v>140</v>
      </c>
      <c r="G10" s="127" t="s">
        <v>140</v>
      </c>
      <c r="H10" s="127" t="s">
        <v>140</v>
      </c>
      <c r="I10" s="127" t="s">
        <v>140</v>
      </c>
      <c r="J10" s="127" t="s">
        <v>140</v>
      </c>
      <c r="K10" s="127" t="s">
        <v>140</v>
      </c>
      <c r="L10" s="127" t="s">
        <v>140</v>
      </c>
      <c r="M10" s="127" t="s">
        <v>140</v>
      </c>
      <c r="N10" s="127" t="s">
        <v>140</v>
      </c>
    </row>
    <row r="11" spans="2:14" outlineLevel="1" x14ac:dyDescent="0.25">
      <c r="B11" s="121"/>
      <c r="C11" s="121" t="s">
        <v>155</v>
      </c>
      <c r="D11" s="111">
        <v>4</v>
      </c>
      <c r="E11" s="127">
        <v>4</v>
      </c>
      <c r="F11" s="127">
        <v>4</v>
      </c>
      <c r="G11" s="127">
        <v>4</v>
      </c>
      <c r="H11" s="127">
        <v>4</v>
      </c>
      <c r="I11" s="127">
        <v>4</v>
      </c>
      <c r="J11" s="127">
        <v>4</v>
      </c>
      <c r="K11" s="127">
        <v>4</v>
      </c>
      <c r="L11" s="127">
        <v>4</v>
      </c>
      <c r="M11" s="127">
        <v>4</v>
      </c>
      <c r="N11" s="127">
        <v>4</v>
      </c>
    </row>
    <row r="12" spans="2:14" outlineLevel="1" x14ac:dyDescent="0.25">
      <c r="B12" s="121"/>
      <c r="C12" s="121" t="s">
        <v>156</v>
      </c>
      <c r="D12" s="111">
        <v>4</v>
      </c>
      <c r="E12" s="127">
        <v>4</v>
      </c>
      <c r="F12" s="127">
        <v>4</v>
      </c>
      <c r="G12" s="127">
        <v>4</v>
      </c>
      <c r="H12" s="127">
        <v>4</v>
      </c>
      <c r="I12" s="127">
        <v>4</v>
      </c>
      <c r="J12" s="127">
        <v>4</v>
      </c>
      <c r="K12" s="127">
        <v>4</v>
      </c>
      <c r="L12" s="127">
        <v>4</v>
      </c>
      <c r="M12" s="127">
        <v>4</v>
      </c>
      <c r="N12" s="127">
        <v>4</v>
      </c>
    </row>
    <row r="13" spans="2:14" outlineLevel="1" x14ac:dyDescent="0.25">
      <c r="B13" s="121"/>
      <c r="C13" s="121" t="s">
        <v>157</v>
      </c>
      <c r="D13" s="114">
        <v>1</v>
      </c>
      <c r="E13" s="127">
        <v>1</v>
      </c>
      <c r="F13" s="127">
        <v>1</v>
      </c>
      <c r="G13" s="127">
        <v>1</v>
      </c>
      <c r="H13" s="127">
        <v>1</v>
      </c>
      <c r="I13" s="127">
        <v>1</v>
      </c>
      <c r="J13" s="127">
        <v>1</v>
      </c>
      <c r="K13" s="127">
        <v>1</v>
      </c>
      <c r="L13" s="127">
        <v>1</v>
      </c>
      <c r="M13" s="127">
        <v>1</v>
      </c>
      <c r="N13" s="127">
        <v>1</v>
      </c>
    </row>
    <row r="14" spans="2:14" outlineLevel="1" x14ac:dyDescent="0.25">
      <c r="B14" s="121"/>
      <c r="C14" s="121" t="s">
        <v>158</v>
      </c>
      <c r="D14" s="111">
        <v>4</v>
      </c>
      <c r="E14" s="127">
        <v>4</v>
      </c>
      <c r="F14" s="127">
        <v>4</v>
      </c>
      <c r="G14" s="127">
        <v>4</v>
      </c>
      <c r="H14" s="127">
        <v>4</v>
      </c>
      <c r="I14" s="127">
        <v>4</v>
      </c>
      <c r="J14" s="127">
        <v>4</v>
      </c>
      <c r="K14" s="127">
        <v>4</v>
      </c>
      <c r="L14" s="127">
        <v>4</v>
      </c>
      <c r="M14" s="127">
        <v>4</v>
      </c>
      <c r="N14" s="127">
        <v>4</v>
      </c>
    </row>
    <row r="15" spans="2:14" outlineLevel="1" x14ac:dyDescent="0.25">
      <c r="B15" s="121"/>
      <c r="C15" s="121" t="s">
        <v>159</v>
      </c>
      <c r="D15" s="111">
        <v>360</v>
      </c>
      <c r="E15" s="127">
        <v>360</v>
      </c>
      <c r="F15" s="127">
        <v>360</v>
      </c>
      <c r="G15" s="127">
        <v>360</v>
      </c>
      <c r="H15" s="127">
        <v>360</v>
      </c>
      <c r="I15" s="127">
        <v>360</v>
      </c>
      <c r="J15" s="127">
        <v>360</v>
      </c>
      <c r="K15" s="127">
        <v>360</v>
      </c>
      <c r="L15" s="127">
        <v>360</v>
      </c>
      <c r="M15" s="127">
        <v>360</v>
      </c>
      <c r="N15" s="127">
        <v>360</v>
      </c>
    </row>
    <row r="16" spans="2:14" outlineLevel="1" x14ac:dyDescent="0.25">
      <c r="B16" s="121"/>
      <c r="C16" s="121" t="s">
        <v>160</v>
      </c>
      <c r="D16" s="111">
        <v>326</v>
      </c>
      <c r="E16" s="127">
        <v>326</v>
      </c>
      <c r="F16" s="127">
        <v>326</v>
      </c>
      <c r="G16" s="127">
        <v>326</v>
      </c>
      <c r="H16" s="127">
        <v>326</v>
      </c>
      <c r="I16" s="127">
        <v>326</v>
      </c>
      <c r="J16" s="127">
        <v>326</v>
      </c>
      <c r="K16" s="127">
        <v>326</v>
      </c>
      <c r="L16" s="127">
        <v>326</v>
      </c>
      <c r="M16" s="127">
        <v>326</v>
      </c>
      <c r="N16" s="127">
        <v>326</v>
      </c>
    </row>
    <row r="17" spans="2:14" outlineLevel="1" x14ac:dyDescent="0.25">
      <c r="B17" s="121"/>
      <c r="C17" s="121" t="s">
        <v>161</v>
      </c>
      <c r="D17" s="114">
        <v>1</v>
      </c>
      <c r="E17" s="127">
        <v>1</v>
      </c>
      <c r="F17" s="127">
        <v>1</v>
      </c>
      <c r="G17" s="127">
        <v>1</v>
      </c>
      <c r="H17" s="127">
        <v>1</v>
      </c>
      <c r="I17" s="127">
        <v>1</v>
      </c>
      <c r="J17" s="127">
        <v>1</v>
      </c>
      <c r="K17" s="127">
        <v>1</v>
      </c>
      <c r="L17" s="127">
        <v>1</v>
      </c>
      <c r="M17" s="127">
        <v>1</v>
      </c>
      <c r="N17" s="127">
        <v>1</v>
      </c>
    </row>
    <row r="18" spans="2:14" outlineLevel="1" x14ac:dyDescent="0.25">
      <c r="B18" s="121"/>
      <c r="C18" s="121" t="s">
        <v>162</v>
      </c>
      <c r="D18" s="111">
        <v>10</v>
      </c>
      <c r="E18" s="127">
        <v>10</v>
      </c>
      <c r="F18" s="127">
        <v>10</v>
      </c>
      <c r="G18" s="127">
        <v>10</v>
      </c>
      <c r="H18" s="127">
        <v>10</v>
      </c>
      <c r="I18" s="127">
        <v>10</v>
      </c>
      <c r="J18" s="127">
        <v>10</v>
      </c>
      <c r="K18" s="127">
        <v>10</v>
      </c>
      <c r="L18" s="127">
        <v>10</v>
      </c>
      <c r="M18" s="127">
        <v>10</v>
      </c>
      <c r="N18" s="127">
        <v>10</v>
      </c>
    </row>
    <row r="19" spans="2:14" outlineLevel="1" x14ac:dyDescent="0.25">
      <c r="B19" s="121"/>
      <c r="C19" s="121" t="s">
        <v>163</v>
      </c>
      <c r="D19" s="114">
        <v>1</v>
      </c>
      <c r="E19" s="127">
        <v>1</v>
      </c>
      <c r="F19" s="127">
        <v>1</v>
      </c>
      <c r="G19" s="127">
        <v>1</v>
      </c>
      <c r="H19" s="127">
        <v>1</v>
      </c>
      <c r="I19" s="127">
        <v>1</v>
      </c>
      <c r="J19" s="127">
        <v>1</v>
      </c>
      <c r="K19" s="127">
        <v>1</v>
      </c>
      <c r="L19" s="127">
        <v>1</v>
      </c>
      <c r="M19" s="127">
        <v>1</v>
      </c>
      <c r="N19" s="127">
        <v>1</v>
      </c>
    </row>
    <row r="20" spans="2:14" outlineLevel="1" x14ac:dyDescent="0.25">
      <c r="B20" s="121"/>
      <c r="C20" s="121" t="s">
        <v>164</v>
      </c>
      <c r="D20" s="115">
        <v>1.8749999999999999E-2</v>
      </c>
      <c r="E20" s="127">
        <v>1.8749999999999999E-2</v>
      </c>
      <c r="F20" s="127">
        <v>1.8749999999999999E-2</v>
      </c>
      <c r="G20" s="127">
        <v>1.8749999999999999E-2</v>
      </c>
      <c r="H20" s="127">
        <v>1.8749999999999999E-2</v>
      </c>
      <c r="I20" s="127">
        <v>1.8749999999999999E-2</v>
      </c>
      <c r="J20" s="127">
        <v>1.8749999999999999E-2</v>
      </c>
      <c r="K20" s="127">
        <v>1.8749999999999999E-2</v>
      </c>
      <c r="L20" s="127">
        <v>1.8749999999999999E-2</v>
      </c>
      <c r="M20" s="127">
        <v>1.8749999999999999E-2</v>
      </c>
      <c r="N20" s="127">
        <v>1.8749999999999999E-2</v>
      </c>
    </row>
    <row r="21" spans="2:14" outlineLevel="1" x14ac:dyDescent="0.25">
      <c r="B21" s="121"/>
      <c r="C21" s="121" t="s">
        <v>165</v>
      </c>
      <c r="D21" s="111" t="s">
        <v>125</v>
      </c>
      <c r="E21" s="127" t="s">
        <v>125</v>
      </c>
      <c r="F21" s="127" t="s">
        <v>125</v>
      </c>
      <c r="G21" s="127" t="s">
        <v>125</v>
      </c>
      <c r="H21" s="127" t="s">
        <v>125</v>
      </c>
      <c r="I21" s="127" t="s">
        <v>125</v>
      </c>
      <c r="J21" s="127" t="s">
        <v>125</v>
      </c>
      <c r="K21" s="127" t="s">
        <v>125</v>
      </c>
      <c r="L21" s="127" t="s">
        <v>125</v>
      </c>
      <c r="M21" s="127" t="s">
        <v>125</v>
      </c>
      <c r="N21" s="127" t="s">
        <v>125</v>
      </c>
    </row>
    <row r="22" spans="2:14" outlineLevel="1" x14ac:dyDescent="0.25">
      <c r="B22" s="121"/>
      <c r="C22" s="121" t="s">
        <v>166</v>
      </c>
      <c r="D22" s="111" t="s">
        <v>125</v>
      </c>
      <c r="E22" s="127" t="s">
        <v>125</v>
      </c>
      <c r="F22" s="127" t="s">
        <v>125</v>
      </c>
      <c r="G22" s="127" t="s">
        <v>125</v>
      </c>
      <c r="H22" s="127" t="s">
        <v>125</v>
      </c>
      <c r="I22" s="127" t="s">
        <v>125</v>
      </c>
      <c r="J22" s="127" t="s">
        <v>125</v>
      </c>
      <c r="K22" s="127" t="s">
        <v>125</v>
      </c>
      <c r="L22" s="127" t="s">
        <v>125</v>
      </c>
      <c r="M22" s="127" t="s">
        <v>125</v>
      </c>
      <c r="N22" s="127" t="s">
        <v>125</v>
      </c>
    </row>
    <row r="23" spans="2:14" outlineLevel="1" x14ac:dyDescent="0.25">
      <c r="B23" s="121"/>
      <c r="C23" s="121" t="s">
        <v>167</v>
      </c>
      <c r="D23" s="111">
        <v>0</v>
      </c>
      <c r="E23" s="127">
        <v>0</v>
      </c>
      <c r="F23" s="127">
        <v>0</v>
      </c>
      <c r="G23" s="127">
        <v>0</v>
      </c>
      <c r="H23" s="127">
        <v>0</v>
      </c>
      <c r="I23" s="127">
        <v>0</v>
      </c>
      <c r="J23" s="127">
        <v>0</v>
      </c>
      <c r="K23" s="127">
        <v>0</v>
      </c>
      <c r="L23" s="127">
        <v>0</v>
      </c>
      <c r="M23" s="127">
        <v>0</v>
      </c>
      <c r="N23" s="127">
        <v>0</v>
      </c>
    </row>
    <row r="24" spans="2:14" outlineLevel="1" x14ac:dyDescent="0.25">
      <c r="B24" s="121"/>
      <c r="C24" s="121" t="s">
        <v>168</v>
      </c>
      <c r="D24" s="111">
        <v>0</v>
      </c>
      <c r="E24" s="127">
        <v>0</v>
      </c>
      <c r="F24" s="127">
        <v>0</v>
      </c>
      <c r="G24" s="127">
        <v>0</v>
      </c>
      <c r="H24" s="127">
        <v>0</v>
      </c>
      <c r="I24" s="127">
        <v>0</v>
      </c>
      <c r="J24" s="127">
        <v>0</v>
      </c>
      <c r="K24" s="127">
        <v>0</v>
      </c>
      <c r="L24" s="127">
        <v>0</v>
      </c>
      <c r="M24" s="127">
        <v>0</v>
      </c>
      <c r="N24" s="127">
        <v>0</v>
      </c>
    </row>
    <row r="25" spans="2:14" outlineLevel="1" x14ac:dyDescent="0.25">
      <c r="B25" s="121"/>
      <c r="C25" s="121" t="s">
        <v>169</v>
      </c>
      <c r="D25" s="111">
        <v>6</v>
      </c>
      <c r="E25" s="127">
        <v>6</v>
      </c>
      <c r="F25" s="127">
        <v>6</v>
      </c>
      <c r="G25" s="127">
        <v>6</v>
      </c>
      <c r="H25" s="127">
        <v>6</v>
      </c>
      <c r="I25" s="127">
        <v>6</v>
      </c>
      <c r="J25" s="127">
        <v>6</v>
      </c>
      <c r="K25" s="127">
        <v>6</v>
      </c>
      <c r="L25" s="127">
        <v>6</v>
      </c>
      <c r="M25" s="127">
        <v>6</v>
      </c>
      <c r="N25" s="127">
        <v>6</v>
      </c>
    </row>
    <row r="26" spans="2:14" outlineLevel="1" x14ac:dyDescent="0.25">
      <c r="B26" s="121"/>
      <c r="C26" s="121" t="s">
        <v>170</v>
      </c>
      <c r="D26" s="112">
        <v>1E-4</v>
      </c>
      <c r="E26" s="127">
        <v>1E-4</v>
      </c>
      <c r="F26" s="127">
        <v>1E-4</v>
      </c>
      <c r="G26" s="127">
        <v>1E-4</v>
      </c>
      <c r="H26" s="127">
        <v>1E-4</v>
      </c>
      <c r="I26" s="127">
        <v>1E-4</v>
      </c>
      <c r="J26" s="127">
        <v>1E-4</v>
      </c>
      <c r="K26" s="127">
        <v>1E-4</v>
      </c>
      <c r="L26" s="127">
        <v>1E-4</v>
      </c>
      <c r="M26" s="127">
        <v>1E-4</v>
      </c>
      <c r="N26" s="127">
        <v>1E-4</v>
      </c>
    </row>
    <row r="27" spans="2:14" outlineLevel="1" x14ac:dyDescent="0.25">
      <c r="B27" s="121"/>
      <c r="C27" s="121" t="s">
        <v>15</v>
      </c>
      <c r="D27" s="111">
        <v>-140</v>
      </c>
      <c r="E27" s="127">
        <v>-140</v>
      </c>
      <c r="F27" s="127">
        <v>-140</v>
      </c>
      <c r="G27" s="127">
        <v>-140</v>
      </c>
      <c r="H27" s="127">
        <v>-140</v>
      </c>
      <c r="I27" s="127">
        <v>-140</v>
      </c>
      <c r="J27" s="127">
        <v>-140</v>
      </c>
      <c r="K27" s="127">
        <v>-140</v>
      </c>
      <c r="L27" s="127">
        <v>-140</v>
      </c>
      <c r="M27" s="127">
        <v>-140</v>
      </c>
      <c r="N27" s="127">
        <v>-140</v>
      </c>
    </row>
    <row r="28" spans="2:14" outlineLevel="1" x14ac:dyDescent="0.25">
      <c r="B28" s="121"/>
      <c r="C28" s="121" t="s">
        <v>171</v>
      </c>
      <c r="D28" s="111">
        <v>6</v>
      </c>
      <c r="E28" s="127">
        <v>6</v>
      </c>
      <c r="F28" s="127">
        <v>6</v>
      </c>
      <c r="G28" s="127">
        <v>6</v>
      </c>
      <c r="H28" s="127">
        <v>6</v>
      </c>
      <c r="I28" s="127">
        <v>6</v>
      </c>
      <c r="J28" s="127">
        <v>6</v>
      </c>
      <c r="K28" s="127">
        <v>6</v>
      </c>
      <c r="L28" s="127">
        <v>6</v>
      </c>
      <c r="M28" s="127">
        <v>6</v>
      </c>
      <c r="N28" s="127">
        <v>6</v>
      </c>
    </row>
    <row r="29" spans="2:14" outlineLevel="1" x14ac:dyDescent="0.25">
      <c r="B29" s="121"/>
      <c r="C29" s="121" t="s">
        <v>172</v>
      </c>
      <c r="D29" s="114">
        <v>1</v>
      </c>
      <c r="E29" s="127">
        <v>1</v>
      </c>
      <c r="F29" s="127">
        <v>1</v>
      </c>
      <c r="G29" s="127">
        <v>1</v>
      </c>
      <c r="H29" s="127">
        <v>1</v>
      </c>
      <c r="I29" s="127">
        <v>1</v>
      </c>
      <c r="J29" s="127">
        <v>1</v>
      </c>
      <c r="K29" s="127">
        <v>1</v>
      </c>
      <c r="L29" s="127">
        <v>1</v>
      </c>
      <c r="M29" s="127">
        <v>1</v>
      </c>
      <c r="N29" s="127">
        <v>1</v>
      </c>
    </row>
    <row r="30" spans="2:14" outlineLevel="1" x14ac:dyDescent="0.25">
      <c r="B30" s="121"/>
      <c r="C30" s="121" t="s">
        <v>173</v>
      </c>
      <c r="D30" s="111">
        <v>5</v>
      </c>
      <c r="E30" s="127">
        <v>5</v>
      </c>
      <c r="F30" s="127">
        <v>5</v>
      </c>
      <c r="G30" s="127">
        <v>5</v>
      </c>
      <c r="H30" s="127">
        <v>5</v>
      </c>
      <c r="I30" s="127">
        <v>5</v>
      </c>
      <c r="J30" s="127">
        <v>5</v>
      </c>
      <c r="K30" s="127">
        <v>5</v>
      </c>
      <c r="L30" s="127">
        <v>5</v>
      </c>
      <c r="M30" s="127">
        <v>5</v>
      </c>
      <c r="N30" s="127">
        <v>5</v>
      </c>
    </row>
    <row r="31" spans="2:14" outlineLevel="1" x14ac:dyDescent="0.25">
      <c r="B31" s="121"/>
      <c r="C31" s="121" t="s">
        <v>174</v>
      </c>
      <c r="D31" s="111">
        <v>5</v>
      </c>
      <c r="E31" s="127">
        <v>5</v>
      </c>
      <c r="F31" s="127">
        <v>5</v>
      </c>
      <c r="G31" s="127">
        <v>5</v>
      </c>
      <c r="H31" s="127">
        <v>5</v>
      </c>
      <c r="I31" s="127">
        <v>5</v>
      </c>
      <c r="J31" s="127">
        <v>5</v>
      </c>
      <c r="K31" s="127">
        <v>5</v>
      </c>
      <c r="L31" s="127">
        <v>5</v>
      </c>
      <c r="M31" s="127">
        <v>5</v>
      </c>
      <c r="N31" s="127">
        <v>5</v>
      </c>
    </row>
    <row r="32" spans="2:14" outlineLevel="1" x14ac:dyDescent="0.25">
      <c r="B32" s="121"/>
      <c r="C32" s="121" t="s">
        <v>175</v>
      </c>
      <c r="D32" s="111" t="s">
        <v>110</v>
      </c>
      <c r="E32" s="127" t="s">
        <v>110</v>
      </c>
      <c r="F32" s="127" t="s">
        <v>113</v>
      </c>
      <c r="G32" s="127" t="s">
        <v>94</v>
      </c>
      <c r="H32" s="127" t="s">
        <v>93</v>
      </c>
      <c r="I32" s="127" t="s">
        <v>148</v>
      </c>
      <c r="J32" s="127" t="s">
        <v>114</v>
      </c>
      <c r="K32" s="127" t="s">
        <v>149</v>
      </c>
      <c r="L32" s="127" t="s">
        <v>206</v>
      </c>
      <c r="M32" s="127" t="s">
        <v>74</v>
      </c>
      <c r="N32" s="127" t="s">
        <v>106</v>
      </c>
    </row>
    <row r="33" spans="2:14" outlineLevel="1" x14ac:dyDescent="0.25">
      <c r="B33" s="121"/>
      <c r="C33" s="121" t="s">
        <v>176</v>
      </c>
      <c r="D33" s="111" t="s">
        <v>120</v>
      </c>
      <c r="E33" s="127" t="s">
        <v>120</v>
      </c>
      <c r="F33" s="127" t="s">
        <v>120</v>
      </c>
      <c r="G33" s="127" t="s">
        <v>120</v>
      </c>
      <c r="H33" s="127" t="s">
        <v>120</v>
      </c>
      <c r="I33" s="127" t="s">
        <v>120</v>
      </c>
      <c r="J33" s="127" t="s">
        <v>120</v>
      </c>
      <c r="K33" s="127" t="s">
        <v>120</v>
      </c>
      <c r="L33" s="127" t="s">
        <v>120</v>
      </c>
      <c r="M33" s="127" t="s">
        <v>120</v>
      </c>
      <c r="N33" s="127" t="s">
        <v>120</v>
      </c>
    </row>
    <row r="34" spans="2:14" outlineLevel="1" x14ac:dyDescent="0.25">
      <c r="B34" s="121"/>
      <c r="C34" s="121" t="s">
        <v>177</v>
      </c>
      <c r="D34" s="111">
        <v>7.6200000000000004E-2</v>
      </c>
      <c r="E34" s="127">
        <v>7.6200000000000004E-2</v>
      </c>
      <c r="F34" s="127">
        <v>7.6200000000000004E-2</v>
      </c>
      <c r="G34" s="127">
        <v>7.6200000000000004E-2</v>
      </c>
      <c r="H34" s="127">
        <v>7.6200000000000004E-2</v>
      </c>
      <c r="I34" s="127">
        <v>7.6200000000000004E-2</v>
      </c>
      <c r="J34" s="127">
        <v>7.6200000000000004E-2</v>
      </c>
      <c r="K34" s="127">
        <v>7.6200000000000004E-2</v>
      </c>
      <c r="L34" s="127">
        <v>7.6200000000000004E-2</v>
      </c>
      <c r="M34" s="127">
        <v>7.6200000000000004E-2</v>
      </c>
      <c r="N34" s="127">
        <v>7.6200000000000004E-2</v>
      </c>
    </row>
    <row r="35" spans="2:14" outlineLevel="1" x14ac:dyDescent="0.25">
      <c r="B35" s="121"/>
      <c r="C35" s="121" t="s">
        <v>178</v>
      </c>
      <c r="D35" s="111" t="s">
        <v>79</v>
      </c>
      <c r="E35" s="127" t="s">
        <v>79</v>
      </c>
      <c r="F35" s="127" t="s">
        <v>79</v>
      </c>
      <c r="G35" s="127" t="s">
        <v>79</v>
      </c>
      <c r="H35" s="127" t="s">
        <v>79</v>
      </c>
      <c r="I35" s="127" t="s">
        <v>79</v>
      </c>
      <c r="J35" s="127" t="s">
        <v>79</v>
      </c>
      <c r="K35" s="127" t="s">
        <v>79</v>
      </c>
      <c r="L35" s="127" t="s">
        <v>79</v>
      </c>
      <c r="M35" s="127" t="s">
        <v>79</v>
      </c>
      <c r="N35" s="127" t="s">
        <v>79</v>
      </c>
    </row>
    <row r="36" spans="2:14" outlineLevel="1" x14ac:dyDescent="0.25">
      <c r="B36" s="121"/>
      <c r="C36" s="121" t="s">
        <v>179</v>
      </c>
      <c r="D36" s="111">
        <v>20</v>
      </c>
      <c r="E36" s="127">
        <v>20</v>
      </c>
      <c r="F36" s="127">
        <v>20</v>
      </c>
      <c r="G36" s="127">
        <v>20</v>
      </c>
      <c r="H36" s="127">
        <v>20</v>
      </c>
      <c r="I36" s="127">
        <v>20</v>
      </c>
      <c r="J36" s="127">
        <v>20</v>
      </c>
      <c r="K36" s="127">
        <v>20</v>
      </c>
      <c r="L36" s="127">
        <v>20</v>
      </c>
      <c r="M36" s="127">
        <v>20</v>
      </c>
      <c r="N36" s="127">
        <v>20</v>
      </c>
    </row>
    <row r="37" spans="2:14" outlineLevel="1" x14ac:dyDescent="0.25">
      <c r="B37" s="121"/>
      <c r="C37" s="121" t="s">
        <v>180</v>
      </c>
      <c r="D37" s="112">
        <v>9000000000</v>
      </c>
      <c r="E37" s="127">
        <v>9000000000</v>
      </c>
      <c r="F37" s="127">
        <v>9000000000</v>
      </c>
      <c r="G37" s="127">
        <v>9000000000</v>
      </c>
      <c r="H37" s="127">
        <v>9000000000</v>
      </c>
      <c r="I37" s="127">
        <v>9000000000</v>
      </c>
      <c r="J37" s="127">
        <v>9000000000</v>
      </c>
      <c r="K37" s="127">
        <v>9000000000</v>
      </c>
      <c r="L37" s="127">
        <v>9000000000</v>
      </c>
      <c r="M37" s="127">
        <v>9000000000</v>
      </c>
      <c r="N37" s="127">
        <v>9000000000</v>
      </c>
    </row>
    <row r="38" spans="2:14" x14ac:dyDescent="0.25">
      <c r="B38" s="122" t="s">
        <v>198</v>
      </c>
      <c r="C38" s="122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</row>
    <row r="39" spans="2:14" outlineLevel="1" x14ac:dyDescent="0.25">
      <c r="B39" s="121"/>
      <c r="C39" s="121" t="s">
        <v>181</v>
      </c>
      <c r="D39" s="116">
        <v>0.305816990016684</v>
      </c>
      <c r="E39" s="116">
        <v>0.305816990016684</v>
      </c>
      <c r="F39" s="116">
        <v>4.40414665122191E-3</v>
      </c>
      <c r="G39" s="116">
        <v>-2.4747790108403198E-2</v>
      </c>
      <c r="H39" s="116">
        <v>5.1885539030266201E-2</v>
      </c>
      <c r="I39" s="116">
        <v>0.89760709199196498</v>
      </c>
      <c r="J39" s="116">
        <v>-1.0042343659648601E-3</v>
      </c>
      <c r="K39" s="116">
        <v>-6.5290605785435201E-3</v>
      </c>
      <c r="L39" s="116">
        <v>6.5811848959103997E-2</v>
      </c>
      <c r="M39" s="116">
        <v>-5.9447559044468301</v>
      </c>
      <c r="N39" s="116">
        <v>-2.1752157966133101</v>
      </c>
    </row>
    <row r="40" spans="2:14" ht="15.75" outlineLevel="1" thickBot="1" x14ac:dyDescent="0.3">
      <c r="B40" s="123"/>
      <c r="C40" s="123" t="s">
        <v>182</v>
      </c>
      <c r="D40" s="117">
        <v>0.305816990016684</v>
      </c>
      <c r="E40" s="117">
        <v>0.305816990016684</v>
      </c>
      <c r="F40" s="117">
        <v>4.40414665122191E-3</v>
      </c>
      <c r="G40" s="117">
        <v>-2.4747790108403198E-2</v>
      </c>
      <c r="H40" s="117">
        <v>5.1885539030266201E-2</v>
      </c>
      <c r="I40" s="117">
        <v>0.89760709199196498</v>
      </c>
      <c r="J40" s="117">
        <v>-1.0042343659648601E-3</v>
      </c>
      <c r="K40" s="117">
        <v>-6.5290605785435201E-3</v>
      </c>
      <c r="L40" s="117">
        <v>6.5811848959103997E-2</v>
      </c>
      <c r="M40" s="117">
        <v>-5.9447559044468301</v>
      </c>
      <c r="N40" s="117">
        <v>-2.1752157966133101</v>
      </c>
    </row>
    <row r="41" spans="2:14" x14ac:dyDescent="0.25">
      <c r="B41" t="s">
        <v>199</v>
      </c>
    </row>
    <row r="42" spans="2:14" x14ac:dyDescent="0.25">
      <c r="B42" t="s">
        <v>200</v>
      </c>
    </row>
    <row r="43" spans="2:14" x14ac:dyDescent="0.25">
      <c r="B43" t="s">
        <v>201</v>
      </c>
    </row>
  </sheetData>
  <conditionalFormatting sqref="E6:N37">
    <cfRule type="expression" dxfId="0" priority="1">
      <formula>AND(TRUE,E6&lt;&gt;$D6)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A485BC36AA3E4A99471E0EC4FC4287" ma:contentTypeVersion="5" ma:contentTypeDescription="Create a new document." ma:contentTypeScope="" ma:versionID="8fbceb315b8a0f6b629d45095b213d3a">
  <xsd:schema xmlns:xsd="http://www.w3.org/2001/XMLSchema" xmlns:xs="http://www.w3.org/2001/XMLSchema" xmlns:p="http://schemas.microsoft.com/office/2006/metadata/properties" xmlns:ns3="ce791c57-60cf-47ef-8c29-bc56a6192fab" xmlns:ns4="f0364fbf-bd95-494d-9ef8-da3e68a3de6c" targetNamespace="http://schemas.microsoft.com/office/2006/metadata/properties" ma:root="true" ma:fieldsID="f27cf9930cacfeb19e0373bff936b31c" ns3:_="" ns4:_="">
    <xsd:import namespace="ce791c57-60cf-47ef-8c29-bc56a6192fab"/>
    <xsd:import namespace="f0364fbf-bd95-494d-9ef8-da3e68a3de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91c57-60cf-47ef-8c29-bc56a6192fa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364fbf-bd95-494d-9ef8-da3e68a3d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C27F2B-C1C4-40D9-AF31-CAA87A8195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CF5F3A-DAC0-4894-BE44-C8B8DABBD90D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ce791c57-60cf-47ef-8c29-bc56a6192fab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0364fbf-bd95-494d-9ef8-da3e68a3de6c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356AFFD-47EA-4A5F-89DE-47F28F37A4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91c57-60cf-47ef-8c29-bc56a6192fab"/>
    <ds:schemaRef ds:uri="f0364fbf-bd95-494d-9ef8-da3e68a3de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50</vt:i4>
      </vt:variant>
    </vt:vector>
  </HeadingPairs>
  <TitlesOfParts>
    <vt:vector size="56" baseType="lpstr">
      <vt:lpstr>Info</vt:lpstr>
      <vt:lpstr>Config</vt:lpstr>
      <vt:lpstr>Calculate</vt:lpstr>
      <vt:lpstr>Masks</vt:lpstr>
      <vt:lpstr>Channels</vt:lpstr>
      <vt:lpstr>Scenario Summary</vt:lpstr>
      <vt:lpstr>AFE_noise_ds</vt:lpstr>
      <vt:lpstr>AFE_noise_us</vt:lpstr>
      <vt:lpstr>cable_length</vt:lpstr>
      <vt:lpstr>cable_model</vt:lpstr>
      <vt:lpstr>connector_echo_model</vt:lpstr>
      <vt:lpstr>DataRate_ds</vt:lpstr>
      <vt:lpstr>DataRate_us</vt:lpstr>
      <vt:lpstr>EC_cancel_ds</vt:lpstr>
      <vt:lpstr>EC_cancel_us</vt:lpstr>
      <vt:lpstr>EC_conector_ratio_ds</vt:lpstr>
      <vt:lpstr>EC_conector_ratio_us</vt:lpstr>
      <vt:lpstr>f_max</vt:lpstr>
      <vt:lpstr>F_Nyquist_ds</vt:lpstr>
      <vt:lpstr>F_Nyquist_us</vt:lpstr>
      <vt:lpstr>f_step</vt:lpstr>
      <vt:lpstr>fec_bits_per_symbol</vt:lpstr>
      <vt:lpstr>fec_block_size</vt:lpstr>
      <vt:lpstr>fec_data_size</vt:lpstr>
      <vt:lpstr>fec_efficency</vt:lpstr>
      <vt:lpstr>framing_overhead</vt:lpstr>
      <vt:lpstr>implementation_loss_ds</vt:lpstr>
      <vt:lpstr>implementation_loss_us</vt:lpstr>
      <vt:lpstr>impulse_error_rate</vt:lpstr>
      <vt:lpstr>K_ch_UPSD_ds</vt:lpstr>
      <vt:lpstr>K_ch_UPSD_us</vt:lpstr>
      <vt:lpstr>micro_reflection_limit</vt:lpstr>
      <vt:lpstr>number_of_connectors</vt:lpstr>
      <vt:lpstr>PAM_ds</vt:lpstr>
      <vt:lpstr>PAM_us</vt:lpstr>
      <vt:lpstr>pcb_model</vt:lpstr>
      <vt:lpstr>PCB_trace_length</vt:lpstr>
      <vt:lpstr>Config!Print_Area</vt:lpstr>
      <vt:lpstr>psd_mask_ds</vt:lpstr>
      <vt:lpstr>psd_mask_us</vt:lpstr>
      <vt:lpstr>req_SNR_ds</vt:lpstr>
      <vt:lpstr>req_SNR_us</vt:lpstr>
      <vt:lpstr>S_ch_ds</vt:lpstr>
      <vt:lpstr>S_ch_us</vt:lpstr>
      <vt:lpstr>sample_rate_ds</vt:lpstr>
      <vt:lpstr>sample_rate_us</vt:lpstr>
      <vt:lpstr>SNR_margin_ds</vt:lpstr>
      <vt:lpstr>SNR_margin_us</vt:lpstr>
      <vt:lpstr>T</vt:lpstr>
      <vt:lpstr>Target_BER</vt:lpstr>
      <vt:lpstr>TDD_DutyCycle_ds</vt:lpstr>
      <vt:lpstr>TDD_DutyCycle_us</vt:lpstr>
      <vt:lpstr>TDD_DutyCyvle_ds</vt:lpstr>
      <vt:lpstr>TDD_DutyCyvle_us</vt:lpstr>
      <vt:lpstr>Tx_power_ds</vt:lpstr>
      <vt:lpstr>Tx_power_us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Ragnar Jonsson</dc:creator>
  <cp:lastModifiedBy>Ragnar Jonsson</cp:lastModifiedBy>
  <cp:lastPrinted>2020-10-22T17:22:42Z</cp:lastPrinted>
  <dcterms:created xsi:type="dcterms:W3CDTF">2020-10-06T20:12:41Z</dcterms:created>
  <dcterms:modified xsi:type="dcterms:W3CDTF">2021-01-11T08:18:04Z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0x01010051A485BC36AA3E4A99471E0EC4FC4287</vt:lpwstr>
  </property>
</Properties>
</file>