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vell-my.sharepoint.com/personal/rjonsson_marvell_com/Documents/Experiments/"/>
    </mc:Choice>
  </mc:AlternateContent>
  <xr:revisionPtr revIDLastSave="30" documentId="8_{28F6D036-8CE7-422C-BB54-BD21978E2FF7}" xr6:coauthVersionLast="45" xr6:coauthVersionMax="45" xr10:uidLastSave="{8BE76F6F-D6BB-4EA8-9662-A2CCF980DFB6}"/>
  <bookViews>
    <workbookView xWindow="13035" yWindow="-16320" windowWidth="29040" windowHeight="15840" xr2:uid="{DAD3BC82-8C51-402C-BEC9-7B43728DFE3A}"/>
  </bookViews>
  <sheets>
    <sheet name="Info" sheetId="5" r:id="rId1"/>
    <sheet name="Config" sheetId="7" r:id="rId2"/>
    <sheet name="Calculate" sheetId="3" r:id="rId3"/>
    <sheet name="Masks" sheetId="4" r:id="rId4"/>
    <sheet name="Channels" sheetId="11" r:id="rId5"/>
  </sheets>
  <externalReferences>
    <externalReference r:id="rId6"/>
  </externalReferences>
  <definedNames>
    <definedName name="AFE_noise_ds">Config!$C$22</definedName>
    <definedName name="AFE_noise_us">Config!$B$22</definedName>
    <definedName name="cable_length">Config!$B$6</definedName>
    <definedName name="cable_model">Config!$B$27</definedName>
    <definedName name="EC_cancel_ds">Config!$C$23</definedName>
    <definedName name="EC_cancel_us">Config!$B$23</definedName>
    <definedName name="EC_conector_ratio_ds">Config!$C$24</definedName>
    <definedName name="EC_conector_ratio_us">Config!$B$24</definedName>
    <definedName name="f_max">Config!$B$30</definedName>
    <definedName name="F_Nyquist_ds">Calculate!$AC$13</definedName>
    <definedName name="F_Nyquist_us">Calculate!$AB$13</definedName>
    <definedName name="f_step">Calculate!$AB$11</definedName>
    <definedName name="K_ch_UPSD_ds">Masks!$X$4</definedName>
    <definedName name="K_ch_UPSD_us">Masks!$W$4</definedName>
    <definedName name="_xlnm.Print_Area" localSheetId="1">Config!$A$1:$S$36</definedName>
    <definedName name="psd_mask_ds">Config!$C$18</definedName>
    <definedName name="psd_mask_us">Config!$B$18</definedName>
    <definedName name="r_x">'[1]Cat6 191-031179-00'!$E$15</definedName>
    <definedName name="req_SNR_ds">Calculate!$AC$9</definedName>
    <definedName name="req_SNR_us">Calculate!$AB$9</definedName>
    <definedName name="S_ch_ds">Masks!$X$3</definedName>
    <definedName name="S_ch_us">Masks!$W$3</definedName>
    <definedName name="sample_rate_ds">Calculate!$AC$12</definedName>
    <definedName name="sample_rate_us">Calculate!$AB$12</definedName>
    <definedName name="T">Config!$B$29</definedName>
    <definedName name="Tx_power_ds">Config!$C$19</definedName>
    <definedName name="Tx_power_us">Config!$B$19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1" l="1"/>
  <c r="I6" i="11"/>
  <c r="I7" i="11"/>
  <c r="I8" i="11"/>
  <c r="I10" i="11"/>
  <c r="I12" i="11"/>
  <c r="I13" i="11"/>
  <c r="I14" i="11"/>
  <c r="I15" i="11"/>
  <c r="I16" i="11"/>
  <c r="I17" i="11"/>
  <c r="I1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5" i="11" l="1"/>
  <c r="I4" i="11"/>
  <c r="I19" i="11"/>
  <c r="I11" i="11"/>
  <c r="I3" i="11"/>
  <c r="I2" i="11"/>
  <c r="C25" i="7"/>
  <c r="C24" i="7"/>
  <c r="C23" i="7"/>
  <c r="C22" i="7"/>
  <c r="C21" i="7"/>
  <c r="C19" i="7"/>
  <c r="C18" i="7"/>
  <c r="B16" i="7"/>
  <c r="C16" i="7" s="1"/>
  <c r="C14" i="7"/>
  <c r="C13" i="7"/>
  <c r="C12" i="7"/>
  <c r="C11" i="7"/>
  <c r="C10" i="7"/>
  <c r="C8" i="7"/>
  <c r="C7" i="7"/>
  <c r="C6" i="7"/>
  <c r="C5" i="7"/>
  <c r="C4" i="7"/>
  <c r="R3" i="11"/>
  <c r="R2" i="11"/>
  <c r="A1" i="7" l="1"/>
  <c r="X2" i="4"/>
  <c r="W2" i="4"/>
  <c r="W3" i="4"/>
  <c r="W4" i="4" s="1"/>
  <c r="AB14" i="3"/>
  <c r="AB11" i="3"/>
  <c r="AB3" i="3"/>
  <c r="AB4" i="3" s="1"/>
  <c r="AB5" i="3" s="1"/>
  <c r="AB6" i="3" s="1"/>
  <c r="AB2" i="3"/>
  <c r="AC2" i="3"/>
  <c r="AB12" i="3" l="1"/>
  <c r="AB13" i="3" s="1"/>
  <c r="N2" i="11"/>
  <c r="N3" i="11"/>
  <c r="A2" i="3" l="1"/>
  <c r="X2" i="3" s="1"/>
  <c r="T1" i="4" a="1"/>
  <c r="T1" i="4" s="1"/>
  <c r="X3" i="4" l="1"/>
  <c r="X4" i="4" s="1"/>
  <c r="A3" i="3"/>
  <c r="A4" i="3" l="1"/>
  <c r="X3" i="3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C33" i="7"/>
  <c r="B33" i="7"/>
  <c r="A5" i="3" l="1"/>
  <c r="X4" i="3"/>
  <c r="AC3" i="3"/>
  <c r="AC4" i="3" s="1"/>
  <c r="AC14" i="3"/>
  <c r="AC12" i="3" l="1"/>
  <c r="AC13" i="3" s="1"/>
  <c r="C38" i="7" s="1"/>
  <c r="A6" i="3"/>
  <c r="X5" i="3"/>
  <c r="AC5" i="3"/>
  <c r="AC6" i="3" s="1"/>
  <c r="AC7" i="3" s="1"/>
  <c r="AC8" i="3" s="1"/>
  <c r="B38" i="7"/>
  <c r="A7" i="3" l="1"/>
  <c r="X6" i="3"/>
  <c r="AB7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O9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M9" i="3"/>
  <c r="A8" i="3" l="1"/>
  <c r="X7" i="3"/>
  <c r="AB8" i="3"/>
  <c r="AB9" i="3" s="1"/>
  <c r="AC9" i="3"/>
  <c r="A2" i="11"/>
  <c r="D2" i="4"/>
  <c r="N2" i="4" s="1"/>
  <c r="B2" i="3"/>
  <c r="M131" i="3"/>
  <c r="M123" i="3"/>
  <c r="M195" i="3"/>
  <c r="M187" i="3"/>
  <c r="M163" i="3"/>
  <c r="M155" i="3"/>
  <c r="O194" i="3"/>
  <c r="O170" i="3"/>
  <c r="O146" i="3"/>
  <c r="O122" i="3"/>
  <c r="O98" i="3"/>
  <c r="O74" i="3"/>
  <c r="O50" i="3"/>
  <c r="O26" i="3"/>
  <c r="O2" i="3"/>
  <c r="O193" i="3"/>
  <c r="O169" i="3"/>
  <c r="O153" i="3"/>
  <c r="O129" i="3"/>
  <c r="O105" i="3"/>
  <c r="O81" i="3"/>
  <c r="O57" i="3"/>
  <c r="O33" i="3"/>
  <c r="O17" i="3"/>
  <c r="M147" i="3"/>
  <c r="O200" i="3"/>
  <c r="O192" i="3"/>
  <c r="O184" i="3"/>
  <c r="O176" i="3"/>
  <c r="O168" i="3"/>
  <c r="O160" i="3"/>
  <c r="O152" i="3"/>
  <c r="O144" i="3"/>
  <c r="O136" i="3"/>
  <c r="O128" i="3"/>
  <c r="O120" i="3"/>
  <c r="O112" i="3"/>
  <c r="O104" i="3"/>
  <c r="O96" i="3"/>
  <c r="O88" i="3"/>
  <c r="O80" i="3"/>
  <c r="O72" i="3"/>
  <c r="O64" i="3"/>
  <c r="O56" i="3"/>
  <c r="O48" i="3"/>
  <c r="O40" i="3"/>
  <c r="O32" i="3"/>
  <c r="O24" i="3"/>
  <c r="O16" i="3"/>
  <c r="O8" i="3"/>
  <c r="O178" i="3"/>
  <c r="O154" i="3"/>
  <c r="O130" i="3"/>
  <c r="O106" i="3"/>
  <c r="O82" i="3"/>
  <c r="O58" i="3"/>
  <c r="O34" i="3"/>
  <c r="O10" i="3"/>
  <c r="O201" i="3"/>
  <c r="O177" i="3"/>
  <c r="O145" i="3"/>
  <c r="O121" i="3"/>
  <c r="O97" i="3"/>
  <c r="O73" i="3"/>
  <c r="O49" i="3"/>
  <c r="O41" i="3"/>
  <c r="O25" i="3"/>
  <c r="M139" i="3"/>
  <c r="O199" i="3"/>
  <c r="O191" i="3"/>
  <c r="O183" i="3"/>
  <c r="O175" i="3"/>
  <c r="O167" i="3"/>
  <c r="O159" i="3"/>
  <c r="O151" i="3"/>
  <c r="O143" i="3"/>
  <c r="O135" i="3"/>
  <c r="O127" i="3"/>
  <c r="O119" i="3"/>
  <c r="O111" i="3"/>
  <c r="O103" i="3"/>
  <c r="O95" i="3"/>
  <c r="O87" i="3"/>
  <c r="O79" i="3"/>
  <c r="O71" i="3"/>
  <c r="O63" i="3"/>
  <c r="O55" i="3"/>
  <c r="O47" i="3"/>
  <c r="O39" i="3"/>
  <c r="O31" i="3"/>
  <c r="O23" i="3"/>
  <c r="O15" i="3"/>
  <c r="O7" i="3"/>
  <c r="O182" i="3"/>
  <c r="O166" i="3"/>
  <c r="O142" i="3"/>
  <c r="O118" i="3"/>
  <c r="O94" i="3"/>
  <c r="O70" i="3"/>
  <c r="O46" i="3"/>
  <c r="O22" i="3"/>
  <c r="O197" i="3"/>
  <c r="O173" i="3"/>
  <c r="O149" i="3"/>
  <c r="O125" i="3"/>
  <c r="O93" i="3"/>
  <c r="O77" i="3"/>
  <c r="O53" i="3"/>
  <c r="O37" i="3"/>
  <c r="O29" i="3"/>
  <c r="O5" i="3"/>
  <c r="O190" i="3"/>
  <c r="O158" i="3"/>
  <c r="O134" i="3"/>
  <c r="O110" i="3"/>
  <c r="O86" i="3"/>
  <c r="O62" i="3"/>
  <c r="O38" i="3"/>
  <c r="O6" i="3"/>
  <c r="O189" i="3"/>
  <c r="O165" i="3"/>
  <c r="O141" i="3"/>
  <c r="O117" i="3"/>
  <c r="O101" i="3"/>
  <c r="O69" i="3"/>
  <c r="O21" i="3"/>
  <c r="M179" i="3"/>
  <c r="M115" i="3"/>
  <c r="O196" i="3"/>
  <c r="O188" i="3"/>
  <c r="O180" i="3"/>
  <c r="O172" i="3"/>
  <c r="O164" i="3"/>
  <c r="O156" i="3"/>
  <c r="O148" i="3"/>
  <c r="O140" i="3"/>
  <c r="O132" i="3"/>
  <c r="O124" i="3"/>
  <c r="O116" i="3"/>
  <c r="O108" i="3"/>
  <c r="O100" i="3"/>
  <c r="O92" i="3"/>
  <c r="O84" i="3"/>
  <c r="O76" i="3"/>
  <c r="O68" i="3"/>
  <c r="O60" i="3"/>
  <c r="O52" i="3"/>
  <c r="O44" i="3"/>
  <c r="O36" i="3"/>
  <c r="O28" i="3"/>
  <c r="O20" i="3"/>
  <c r="O12" i="3"/>
  <c r="O4" i="3"/>
  <c r="O198" i="3"/>
  <c r="O174" i="3"/>
  <c r="O150" i="3"/>
  <c r="O126" i="3"/>
  <c r="O102" i="3"/>
  <c r="O78" i="3"/>
  <c r="O54" i="3"/>
  <c r="O30" i="3"/>
  <c r="O14" i="3"/>
  <c r="O181" i="3"/>
  <c r="O157" i="3"/>
  <c r="O133" i="3"/>
  <c r="O109" i="3"/>
  <c r="O85" i="3"/>
  <c r="O61" i="3"/>
  <c r="O45" i="3"/>
  <c r="O13" i="3"/>
  <c r="M171" i="3"/>
  <c r="M107" i="3"/>
  <c r="O195" i="3"/>
  <c r="O187" i="3"/>
  <c r="O179" i="3"/>
  <c r="O171" i="3"/>
  <c r="O163" i="3"/>
  <c r="O155" i="3"/>
  <c r="O147" i="3"/>
  <c r="O139" i="3"/>
  <c r="O131" i="3"/>
  <c r="O123" i="3"/>
  <c r="O115" i="3"/>
  <c r="O107" i="3"/>
  <c r="O99" i="3"/>
  <c r="O91" i="3"/>
  <c r="O83" i="3"/>
  <c r="O75" i="3"/>
  <c r="O67" i="3"/>
  <c r="O59" i="3"/>
  <c r="O51" i="3"/>
  <c r="O43" i="3"/>
  <c r="O35" i="3"/>
  <c r="O27" i="3"/>
  <c r="O19" i="3"/>
  <c r="O11" i="3"/>
  <c r="O3" i="3"/>
  <c r="O186" i="3"/>
  <c r="O162" i="3"/>
  <c r="O138" i="3"/>
  <c r="O114" i="3"/>
  <c r="O90" i="3"/>
  <c r="O66" i="3"/>
  <c r="O42" i="3"/>
  <c r="O18" i="3"/>
  <c r="O185" i="3"/>
  <c r="O161" i="3"/>
  <c r="O137" i="3"/>
  <c r="O113" i="3"/>
  <c r="O89" i="3"/>
  <c r="O65" i="3"/>
  <c r="M154" i="3"/>
  <c r="M114" i="3"/>
  <c r="M66" i="3"/>
  <c r="M50" i="3"/>
  <c r="M200" i="3"/>
  <c r="M176" i="3"/>
  <c r="M144" i="3"/>
  <c r="M104" i="3"/>
  <c r="M88" i="3"/>
  <c r="M56" i="3"/>
  <c r="M16" i="3"/>
  <c r="M199" i="3"/>
  <c r="M191" i="3"/>
  <c r="M183" i="3"/>
  <c r="M175" i="3"/>
  <c r="M167" i="3"/>
  <c r="M159" i="3"/>
  <c r="M151" i="3"/>
  <c r="M143" i="3"/>
  <c r="M135" i="3"/>
  <c r="M127" i="3"/>
  <c r="M119" i="3"/>
  <c r="M111" i="3"/>
  <c r="M103" i="3"/>
  <c r="M95" i="3"/>
  <c r="M87" i="3"/>
  <c r="M79" i="3"/>
  <c r="M71" i="3"/>
  <c r="M63" i="3"/>
  <c r="M55" i="3"/>
  <c r="M47" i="3"/>
  <c r="M39" i="3"/>
  <c r="M31" i="3"/>
  <c r="M23" i="3"/>
  <c r="M15" i="3"/>
  <c r="M7" i="3"/>
  <c r="M170" i="3"/>
  <c r="M106" i="3"/>
  <c r="M42" i="3"/>
  <c r="M168" i="3"/>
  <c r="M128" i="3"/>
  <c r="M80" i="3"/>
  <c r="M8" i="3"/>
  <c r="M198" i="3"/>
  <c r="M190" i="3"/>
  <c r="M182" i="3"/>
  <c r="M174" i="3"/>
  <c r="M166" i="3"/>
  <c r="M158" i="3"/>
  <c r="M150" i="3"/>
  <c r="M142" i="3"/>
  <c r="M134" i="3"/>
  <c r="M126" i="3"/>
  <c r="M118" i="3"/>
  <c r="M110" i="3"/>
  <c r="M102" i="3"/>
  <c r="M94" i="3"/>
  <c r="M86" i="3"/>
  <c r="M78" i="3"/>
  <c r="M70" i="3"/>
  <c r="M62" i="3"/>
  <c r="M54" i="3"/>
  <c r="M46" i="3"/>
  <c r="M38" i="3"/>
  <c r="M30" i="3"/>
  <c r="M22" i="3"/>
  <c r="M14" i="3"/>
  <c r="M6" i="3"/>
  <c r="M186" i="3"/>
  <c r="M138" i="3"/>
  <c r="M90" i="3"/>
  <c r="M26" i="3"/>
  <c r="M184" i="3"/>
  <c r="M152" i="3"/>
  <c r="M120" i="3"/>
  <c r="M96" i="3"/>
  <c r="M64" i="3"/>
  <c r="M40" i="3"/>
  <c r="M32" i="3"/>
  <c r="M197" i="3"/>
  <c r="M189" i="3"/>
  <c r="M181" i="3"/>
  <c r="M173" i="3"/>
  <c r="M165" i="3"/>
  <c r="M157" i="3"/>
  <c r="M149" i="3"/>
  <c r="M141" i="3"/>
  <c r="M133" i="3"/>
  <c r="M125" i="3"/>
  <c r="M117" i="3"/>
  <c r="M109" i="3"/>
  <c r="M101" i="3"/>
  <c r="M93" i="3"/>
  <c r="M85" i="3"/>
  <c r="M77" i="3"/>
  <c r="M69" i="3"/>
  <c r="M61" i="3"/>
  <c r="M53" i="3"/>
  <c r="M45" i="3"/>
  <c r="M37" i="3"/>
  <c r="M29" i="3"/>
  <c r="M21" i="3"/>
  <c r="M13" i="3"/>
  <c r="M5" i="3"/>
  <c r="M178" i="3"/>
  <c r="M130" i="3"/>
  <c r="M82" i="3"/>
  <c r="M18" i="3"/>
  <c r="M192" i="3"/>
  <c r="M160" i="3"/>
  <c r="M136" i="3"/>
  <c r="M112" i="3"/>
  <c r="M72" i="3"/>
  <c r="M48" i="3"/>
  <c r="M24" i="3"/>
  <c r="M196" i="3"/>
  <c r="M188" i="3"/>
  <c r="M180" i="3"/>
  <c r="M172" i="3"/>
  <c r="M164" i="3"/>
  <c r="M156" i="3"/>
  <c r="M148" i="3"/>
  <c r="M140" i="3"/>
  <c r="M132" i="3"/>
  <c r="M124" i="3"/>
  <c r="M116" i="3"/>
  <c r="M108" i="3"/>
  <c r="M100" i="3"/>
  <c r="M92" i="3"/>
  <c r="M84" i="3"/>
  <c r="M76" i="3"/>
  <c r="M68" i="3"/>
  <c r="M60" i="3"/>
  <c r="M52" i="3"/>
  <c r="M44" i="3"/>
  <c r="M36" i="3"/>
  <c r="M28" i="3"/>
  <c r="M20" i="3"/>
  <c r="M12" i="3"/>
  <c r="M4" i="3"/>
  <c r="M99" i="3"/>
  <c r="M91" i="3"/>
  <c r="M83" i="3"/>
  <c r="M75" i="3"/>
  <c r="M67" i="3"/>
  <c r="M59" i="3"/>
  <c r="M51" i="3"/>
  <c r="M43" i="3"/>
  <c r="M35" i="3"/>
  <c r="M27" i="3"/>
  <c r="M19" i="3"/>
  <c r="M11" i="3"/>
  <c r="M3" i="3"/>
  <c r="M162" i="3"/>
  <c r="M122" i="3"/>
  <c r="M74" i="3"/>
  <c r="M58" i="3"/>
  <c r="M34" i="3"/>
  <c r="M2" i="3"/>
  <c r="M194" i="3"/>
  <c r="M146" i="3"/>
  <c r="M98" i="3"/>
  <c r="M10" i="3"/>
  <c r="M201" i="3"/>
  <c r="M193" i="3"/>
  <c r="M185" i="3"/>
  <c r="M177" i="3"/>
  <c r="M169" i="3"/>
  <c r="M161" i="3"/>
  <c r="M153" i="3"/>
  <c r="M145" i="3"/>
  <c r="M137" i="3"/>
  <c r="M129" i="3"/>
  <c r="M121" i="3"/>
  <c r="M113" i="3"/>
  <c r="M105" i="3"/>
  <c r="M97" i="3"/>
  <c r="M89" i="3"/>
  <c r="M81" i="3"/>
  <c r="M73" i="3"/>
  <c r="M65" i="3"/>
  <c r="M57" i="3"/>
  <c r="M49" i="3"/>
  <c r="M41" i="3"/>
  <c r="M33" i="3"/>
  <c r="M25" i="3"/>
  <c r="M17" i="3"/>
  <c r="H2" i="11" l="1"/>
  <c r="G2" i="11"/>
  <c r="F2" i="11"/>
  <c r="E2" i="11"/>
  <c r="D2" i="11"/>
  <c r="A9" i="3"/>
  <c r="X8" i="3"/>
  <c r="C36" i="7"/>
  <c r="B36" i="7"/>
  <c r="O2" i="4"/>
  <c r="F2" i="4"/>
  <c r="A3" i="11"/>
  <c r="I2" i="4"/>
  <c r="G2" i="4"/>
  <c r="K2" i="4"/>
  <c r="H2" i="4"/>
  <c r="E2" i="4"/>
  <c r="B4" i="3"/>
  <c r="D3" i="4"/>
  <c r="N3" i="4" s="1"/>
  <c r="B3" i="3"/>
  <c r="L2" i="4"/>
  <c r="J2" i="4"/>
  <c r="A10" i="3" l="1"/>
  <c r="X9" i="3"/>
  <c r="H3" i="11"/>
  <c r="G3" i="11"/>
  <c r="F3" i="11"/>
  <c r="E3" i="11"/>
  <c r="D3" i="11"/>
  <c r="H2" i="3"/>
  <c r="I2" i="3"/>
  <c r="J3" i="4"/>
  <c r="A4" i="11"/>
  <c r="D4" i="4"/>
  <c r="F3" i="4"/>
  <c r="O3" i="4"/>
  <c r="L3" i="4"/>
  <c r="I3" i="4"/>
  <c r="E3" i="4"/>
  <c r="G3" i="4"/>
  <c r="H3" i="4"/>
  <c r="K3" i="4"/>
  <c r="H4" i="11" l="1"/>
  <c r="G4" i="11"/>
  <c r="F4" i="11"/>
  <c r="E4" i="11"/>
  <c r="D4" i="11"/>
  <c r="A11" i="3"/>
  <c r="X10" i="3"/>
  <c r="F4" i="4"/>
  <c r="N4" i="4"/>
  <c r="O4" i="4" s="1"/>
  <c r="L4" i="4"/>
  <c r="I4" i="4"/>
  <c r="G4" i="4"/>
  <c r="J4" i="4"/>
  <c r="H4" i="4"/>
  <c r="E4" i="4"/>
  <c r="K4" i="4"/>
  <c r="A5" i="11"/>
  <c r="B5" i="3"/>
  <c r="D5" i="4"/>
  <c r="N5" i="4" s="1"/>
  <c r="H3" i="3"/>
  <c r="I3" i="3"/>
  <c r="H5" i="11" l="1"/>
  <c r="G5" i="11"/>
  <c r="F5" i="11"/>
  <c r="E5" i="11"/>
  <c r="D5" i="11"/>
  <c r="A12" i="3"/>
  <c r="X11" i="3"/>
  <c r="I4" i="3"/>
  <c r="H4" i="3"/>
  <c r="A6" i="11"/>
  <c r="B6" i="3"/>
  <c r="D6" i="4"/>
  <c r="N6" i="4" s="1"/>
  <c r="O5" i="4"/>
  <c r="L5" i="4"/>
  <c r="E5" i="4"/>
  <c r="G5" i="4"/>
  <c r="J5" i="4"/>
  <c r="H5" i="4"/>
  <c r="I5" i="4"/>
  <c r="K5" i="4"/>
  <c r="F5" i="4"/>
  <c r="A13" i="3" l="1"/>
  <c r="X12" i="3"/>
  <c r="H6" i="11"/>
  <c r="G6" i="11"/>
  <c r="F6" i="11"/>
  <c r="E6" i="11"/>
  <c r="D6" i="11"/>
  <c r="A7" i="11"/>
  <c r="B7" i="3"/>
  <c r="D7" i="4"/>
  <c r="N7" i="4" s="1"/>
  <c r="I6" i="4"/>
  <c r="K6" i="4"/>
  <c r="G6" i="4"/>
  <c r="F6" i="4"/>
  <c r="O6" i="4"/>
  <c r="E6" i="4"/>
  <c r="H6" i="4"/>
  <c r="J6" i="4"/>
  <c r="L6" i="4"/>
  <c r="I5" i="3"/>
  <c r="H5" i="3"/>
  <c r="H7" i="11" l="1"/>
  <c r="G7" i="11"/>
  <c r="F7" i="11"/>
  <c r="E7" i="11"/>
  <c r="D7" i="11"/>
  <c r="A14" i="3"/>
  <c r="X13" i="3"/>
  <c r="A8" i="11"/>
  <c r="J7" i="4"/>
  <c r="H7" i="4"/>
  <c r="G7" i="4"/>
  <c r="F7" i="4"/>
  <c r="I7" i="4"/>
  <c r="O7" i="4"/>
  <c r="E7" i="4"/>
  <c r="L7" i="4"/>
  <c r="K7" i="4"/>
  <c r="B8" i="3"/>
  <c r="D8" i="4"/>
  <c r="N8" i="4" s="1"/>
  <c r="I6" i="3"/>
  <c r="H6" i="3"/>
  <c r="A15" i="3" l="1"/>
  <c r="X14" i="3"/>
  <c r="G8" i="11"/>
  <c r="F8" i="11"/>
  <c r="D8" i="11"/>
  <c r="E8" i="11"/>
  <c r="H8" i="11"/>
  <c r="A9" i="11"/>
  <c r="B9" i="3"/>
  <c r="D9" i="4"/>
  <c r="N9" i="4" s="1"/>
  <c r="I7" i="3"/>
  <c r="H7" i="3"/>
  <c r="H8" i="4"/>
  <c r="I8" i="4"/>
  <c r="J8" i="4"/>
  <c r="F8" i="4"/>
  <c r="E8" i="4"/>
  <c r="O8" i="4"/>
  <c r="G8" i="4"/>
  <c r="L8" i="4"/>
  <c r="K8" i="4"/>
  <c r="H9" i="11" l="1"/>
  <c r="G9" i="11"/>
  <c r="F9" i="11"/>
  <c r="D9" i="11"/>
  <c r="E9" i="11"/>
  <c r="A16" i="3"/>
  <c r="X15" i="3"/>
  <c r="A10" i="11"/>
  <c r="L9" i="4"/>
  <c r="H9" i="4"/>
  <c r="G9" i="4"/>
  <c r="K9" i="4"/>
  <c r="E9" i="4"/>
  <c r="O9" i="4"/>
  <c r="F9" i="4"/>
  <c r="J9" i="4"/>
  <c r="I9" i="4"/>
  <c r="B10" i="3"/>
  <c r="D10" i="4"/>
  <c r="N10" i="4" s="1"/>
  <c r="H8" i="3"/>
  <c r="I8" i="3"/>
  <c r="A17" i="3" l="1"/>
  <c r="X16" i="3"/>
  <c r="H10" i="11"/>
  <c r="G10" i="11"/>
  <c r="F10" i="11"/>
  <c r="E10" i="11"/>
  <c r="D10" i="11"/>
  <c r="A11" i="11"/>
  <c r="B11" i="3"/>
  <c r="D11" i="4"/>
  <c r="N11" i="4" s="1"/>
  <c r="J10" i="4"/>
  <c r="O10" i="4"/>
  <c r="H10" i="4"/>
  <c r="G10" i="4"/>
  <c r="E10" i="4"/>
  <c r="I10" i="4"/>
  <c r="F10" i="4"/>
  <c r="L10" i="4"/>
  <c r="K10" i="4"/>
  <c r="H9" i="3"/>
  <c r="I9" i="3"/>
  <c r="H11" i="11" l="1"/>
  <c r="G11" i="11"/>
  <c r="F11" i="11"/>
  <c r="E11" i="11"/>
  <c r="D11" i="11"/>
  <c r="A18" i="3"/>
  <c r="X17" i="3"/>
  <c r="A12" i="11"/>
  <c r="H10" i="3"/>
  <c r="I10" i="3"/>
  <c r="O11" i="4"/>
  <c r="H11" i="4"/>
  <c r="G11" i="4"/>
  <c r="K11" i="4"/>
  <c r="I11" i="4"/>
  <c r="J11" i="4"/>
  <c r="E11" i="4"/>
  <c r="F11" i="4"/>
  <c r="L11" i="4"/>
  <c r="B12" i="3"/>
  <c r="D12" i="4"/>
  <c r="N12" i="4" s="1"/>
  <c r="A19" i="3" l="1"/>
  <c r="X18" i="3"/>
  <c r="H12" i="11"/>
  <c r="G12" i="11"/>
  <c r="F12" i="11"/>
  <c r="E12" i="11"/>
  <c r="D12" i="11"/>
  <c r="A13" i="11"/>
  <c r="I11" i="3"/>
  <c r="H11" i="3"/>
  <c r="L12" i="4"/>
  <c r="E12" i="4"/>
  <c r="O12" i="4"/>
  <c r="F12" i="4"/>
  <c r="J12" i="4"/>
  <c r="H12" i="4"/>
  <c r="G12" i="4"/>
  <c r="K12" i="4"/>
  <c r="I12" i="4"/>
  <c r="B13" i="3"/>
  <c r="D13" i="4"/>
  <c r="N13" i="4" s="1"/>
  <c r="H13" i="11" l="1"/>
  <c r="G13" i="11"/>
  <c r="F13" i="11"/>
  <c r="E13" i="11"/>
  <c r="D13" i="11"/>
  <c r="A20" i="3"/>
  <c r="X19" i="3"/>
  <c r="A14" i="11"/>
  <c r="B14" i="3"/>
  <c r="D14" i="4"/>
  <c r="N14" i="4" s="1"/>
  <c r="F13" i="4"/>
  <c r="K13" i="4"/>
  <c r="H13" i="4"/>
  <c r="G13" i="4"/>
  <c r="I13" i="4"/>
  <c r="L13" i="4"/>
  <c r="O13" i="4"/>
  <c r="E13" i="4"/>
  <c r="J13" i="4"/>
  <c r="H12" i="3"/>
  <c r="I12" i="3"/>
  <c r="A21" i="3" l="1"/>
  <c r="X20" i="3"/>
  <c r="H14" i="11"/>
  <c r="G14" i="11"/>
  <c r="F14" i="11"/>
  <c r="E14" i="11"/>
  <c r="D14" i="11"/>
  <c r="A15" i="11"/>
  <c r="O14" i="4"/>
  <c r="G14" i="4"/>
  <c r="E14" i="4"/>
  <c r="H14" i="4"/>
  <c r="F14" i="4"/>
  <c r="I14" i="4"/>
  <c r="K14" i="4"/>
  <c r="J14" i="4"/>
  <c r="L14" i="4"/>
  <c r="I13" i="3"/>
  <c r="H13" i="3"/>
  <c r="B15" i="3"/>
  <c r="D15" i="4"/>
  <c r="N15" i="4" s="1"/>
  <c r="H15" i="11" l="1"/>
  <c r="G15" i="11"/>
  <c r="F15" i="11"/>
  <c r="E15" i="11"/>
  <c r="D15" i="11"/>
  <c r="A22" i="3"/>
  <c r="X21" i="3"/>
  <c r="A16" i="11"/>
  <c r="L15" i="4"/>
  <c r="F15" i="4"/>
  <c r="O15" i="4"/>
  <c r="K15" i="4"/>
  <c r="J15" i="4"/>
  <c r="H15" i="4"/>
  <c r="G15" i="4"/>
  <c r="I15" i="4"/>
  <c r="E15" i="4"/>
  <c r="B16" i="3"/>
  <c r="D16" i="4"/>
  <c r="N16" i="4" s="1"/>
  <c r="I14" i="3"/>
  <c r="H14" i="3"/>
  <c r="A23" i="3" l="1"/>
  <c r="X22" i="3"/>
  <c r="H16" i="11"/>
  <c r="G16" i="11"/>
  <c r="D16" i="11"/>
  <c r="F16" i="11"/>
  <c r="E16" i="11"/>
  <c r="A17" i="11"/>
  <c r="B17" i="3"/>
  <c r="D17" i="4"/>
  <c r="N17" i="4" s="1"/>
  <c r="F16" i="4"/>
  <c r="O16" i="4"/>
  <c r="I16" i="4"/>
  <c r="K16" i="4"/>
  <c r="H16" i="4"/>
  <c r="L16" i="4"/>
  <c r="G16" i="4"/>
  <c r="J16" i="4"/>
  <c r="E16" i="4"/>
  <c r="I15" i="3"/>
  <c r="H15" i="3"/>
  <c r="E17" i="11" l="1"/>
  <c r="H17" i="11"/>
  <c r="G17" i="11"/>
  <c r="D17" i="11"/>
  <c r="F17" i="11"/>
  <c r="A24" i="3"/>
  <c r="X23" i="3"/>
  <c r="A18" i="11"/>
  <c r="B18" i="3"/>
  <c r="D18" i="4"/>
  <c r="N18" i="4" s="1"/>
  <c r="H16" i="3"/>
  <c r="I16" i="3"/>
  <c r="O17" i="4"/>
  <c r="H17" i="4"/>
  <c r="G17" i="4"/>
  <c r="L17" i="4"/>
  <c r="E17" i="4"/>
  <c r="K17" i="4"/>
  <c r="I17" i="4"/>
  <c r="J17" i="4"/>
  <c r="F17" i="4"/>
  <c r="A25" i="3" l="1"/>
  <c r="X24" i="3"/>
  <c r="H18" i="11"/>
  <c r="G18" i="11"/>
  <c r="F18" i="11"/>
  <c r="E18" i="11"/>
  <c r="D18" i="11"/>
  <c r="A19" i="11"/>
  <c r="B19" i="3"/>
  <c r="D19" i="4"/>
  <c r="N19" i="4" s="1"/>
  <c r="O18" i="4"/>
  <c r="H18" i="4"/>
  <c r="F18" i="4"/>
  <c r="K18" i="4"/>
  <c r="G18" i="4"/>
  <c r="E18" i="4"/>
  <c r="I18" i="4"/>
  <c r="L18" i="4"/>
  <c r="J18" i="4"/>
  <c r="H17" i="3"/>
  <c r="I17" i="3"/>
  <c r="H19" i="11" l="1"/>
  <c r="G19" i="11"/>
  <c r="F19" i="11"/>
  <c r="E19" i="11"/>
  <c r="D19" i="11"/>
  <c r="A26" i="3"/>
  <c r="X25" i="3"/>
  <c r="A20" i="11"/>
  <c r="H18" i="3"/>
  <c r="I18" i="3"/>
  <c r="E19" i="4"/>
  <c r="H19" i="4"/>
  <c r="O19" i="4"/>
  <c r="I19" i="4"/>
  <c r="G19" i="4"/>
  <c r="K19" i="4"/>
  <c r="J19" i="4"/>
  <c r="L19" i="4"/>
  <c r="F19" i="4"/>
  <c r="B20" i="3"/>
  <c r="D20" i="4"/>
  <c r="N20" i="4" s="1"/>
  <c r="A27" i="3" l="1"/>
  <c r="X26" i="3"/>
  <c r="H20" i="11"/>
  <c r="G20" i="11"/>
  <c r="F20" i="11"/>
  <c r="E20" i="11"/>
  <c r="D20" i="11"/>
  <c r="A21" i="11"/>
  <c r="H19" i="3"/>
  <c r="I19" i="3"/>
  <c r="B21" i="3"/>
  <c r="D21" i="4"/>
  <c r="N21" i="4" s="1"/>
  <c r="K20" i="4"/>
  <c r="G20" i="4"/>
  <c r="H20" i="4"/>
  <c r="I20" i="4"/>
  <c r="J20" i="4"/>
  <c r="L20" i="4"/>
  <c r="O20" i="4"/>
  <c r="E20" i="4"/>
  <c r="F20" i="4"/>
  <c r="H21" i="11" l="1"/>
  <c r="G21" i="11"/>
  <c r="F21" i="11"/>
  <c r="E21" i="11"/>
  <c r="D21" i="11"/>
  <c r="A28" i="3"/>
  <c r="X27" i="3"/>
  <c r="A22" i="11"/>
  <c r="H20" i="3"/>
  <c r="I20" i="3"/>
  <c r="L21" i="4"/>
  <c r="H21" i="4"/>
  <c r="E21" i="4"/>
  <c r="O21" i="4"/>
  <c r="F21" i="4"/>
  <c r="J21" i="4"/>
  <c r="I21" i="4"/>
  <c r="G21" i="4"/>
  <c r="K21" i="4"/>
  <c r="B22" i="3"/>
  <c r="D22" i="4"/>
  <c r="N22" i="4" s="1"/>
  <c r="H22" i="11" l="1"/>
  <c r="G22" i="11"/>
  <c r="F22" i="11"/>
  <c r="E22" i="11"/>
  <c r="D22" i="11"/>
  <c r="A29" i="3"/>
  <c r="X28" i="3"/>
  <c r="A23" i="11"/>
  <c r="I22" i="4"/>
  <c r="H22" i="4"/>
  <c r="F22" i="4"/>
  <c r="K22" i="4"/>
  <c r="G22" i="4"/>
  <c r="L22" i="4"/>
  <c r="J22" i="4"/>
  <c r="E22" i="4"/>
  <c r="O22" i="4"/>
  <c r="B23" i="3"/>
  <c r="D23" i="4"/>
  <c r="N23" i="4" s="1"/>
  <c r="I21" i="3"/>
  <c r="H21" i="3"/>
  <c r="H23" i="11" l="1"/>
  <c r="G23" i="11"/>
  <c r="F23" i="11"/>
  <c r="E23" i="11"/>
  <c r="D23" i="11"/>
  <c r="A30" i="3"/>
  <c r="X29" i="3"/>
  <c r="A24" i="11"/>
  <c r="I22" i="3"/>
  <c r="H22" i="3"/>
  <c r="L23" i="4"/>
  <c r="E23" i="4"/>
  <c r="J23" i="4"/>
  <c r="O23" i="4"/>
  <c r="F23" i="4"/>
  <c r="K23" i="4"/>
  <c r="H23" i="4"/>
  <c r="I23" i="4"/>
  <c r="G23" i="4"/>
  <c r="B24" i="3"/>
  <c r="D24" i="4"/>
  <c r="N24" i="4" s="1"/>
  <c r="E24" i="11" l="1"/>
  <c r="H24" i="11"/>
  <c r="D24" i="11"/>
  <c r="G24" i="11"/>
  <c r="F24" i="11"/>
  <c r="A31" i="3"/>
  <c r="X30" i="3"/>
  <c r="A25" i="11"/>
  <c r="B25" i="3"/>
  <c r="D25" i="4"/>
  <c r="N25" i="4" s="1"/>
  <c r="H23" i="3"/>
  <c r="I23" i="3"/>
  <c r="K24" i="4"/>
  <c r="J24" i="4"/>
  <c r="E24" i="4"/>
  <c r="L24" i="4"/>
  <c r="F24" i="4"/>
  <c r="H24" i="4"/>
  <c r="G24" i="4"/>
  <c r="I24" i="4"/>
  <c r="O24" i="4"/>
  <c r="A32" i="3" l="1"/>
  <c r="X31" i="3"/>
  <c r="F25" i="11"/>
  <c r="E25" i="11"/>
  <c r="H25" i="11"/>
  <c r="D25" i="11"/>
  <c r="G25" i="11"/>
  <c r="A26" i="11"/>
  <c r="B26" i="3"/>
  <c r="D26" i="4"/>
  <c r="N26" i="4" s="1"/>
  <c r="I24" i="3"/>
  <c r="H24" i="3"/>
  <c r="J25" i="4"/>
  <c r="F25" i="4"/>
  <c r="O25" i="4"/>
  <c r="H25" i="4"/>
  <c r="L25" i="4"/>
  <c r="I25" i="4"/>
  <c r="G25" i="4"/>
  <c r="K25" i="4"/>
  <c r="E25" i="4"/>
  <c r="H26" i="11" l="1"/>
  <c r="G26" i="11"/>
  <c r="F26" i="11"/>
  <c r="E26" i="11"/>
  <c r="D26" i="11"/>
  <c r="A33" i="3"/>
  <c r="X32" i="3"/>
  <c r="A27" i="11"/>
  <c r="B27" i="3"/>
  <c r="D27" i="4"/>
  <c r="N27" i="4" s="1"/>
  <c r="H26" i="4"/>
  <c r="I26" i="4"/>
  <c r="K26" i="4"/>
  <c r="G26" i="4"/>
  <c r="L26" i="4"/>
  <c r="F26" i="4"/>
  <c r="O26" i="4"/>
  <c r="J26" i="4"/>
  <c r="E26" i="4"/>
  <c r="I25" i="3"/>
  <c r="H25" i="3"/>
  <c r="A34" i="3" l="1"/>
  <c r="X33" i="3"/>
  <c r="H27" i="11"/>
  <c r="G27" i="11"/>
  <c r="F27" i="11"/>
  <c r="E27" i="11"/>
  <c r="D27" i="11"/>
  <c r="A28" i="11"/>
  <c r="B28" i="3"/>
  <c r="D28" i="4"/>
  <c r="N28" i="4" s="1"/>
  <c r="H27" i="4"/>
  <c r="G27" i="4"/>
  <c r="K27" i="4"/>
  <c r="J27" i="4"/>
  <c r="I27" i="4"/>
  <c r="L27" i="4"/>
  <c r="E27" i="4"/>
  <c r="F27" i="4"/>
  <c r="H26" i="3"/>
  <c r="I26" i="3"/>
  <c r="H28" i="11" l="1"/>
  <c r="G28" i="11"/>
  <c r="F28" i="11"/>
  <c r="E28" i="11"/>
  <c r="D28" i="11"/>
  <c r="A35" i="3"/>
  <c r="X34" i="3"/>
  <c r="A29" i="11"/>
  <c r="I28" i="4"/>
  <c r="H28" i="4"/>
  <c r="K28" i="4"/>
  <c r="L28" i="4"/>
  <c r="G28" i="4"/>
  <c r="J28" i="4"/>
  <c r="E28" i="4"/>
  <c r="F28" i="4"/>
  <c r="B29" i="3"/>
  <c r="D29" i="4"/>
  <c r="N29" i="4" s="1"/>
  <c r="H29" i="11" l="1"/>
  <c r="G29" i="11"/>
  <c r="F29" i="11"/>
  <c r="E29" i="11"/>
  <c r="D29" i="11"/>
  <c r="A36" i="3"/>
  <c r="X35" i="3"/>
  <c r="A30" i="11"/>
  <c r="B30" i="3"/>
  <c r="D30" i="4"/>
  <c r="N30" i="4" s="1"/>
  <c r="O29" i="4"/>
  <c r="H29" i="4"/>
  <c r="I29" i="4"/>
  <c r="L29" i="4"/>
  <c r="K29" i="4"/>
  <c r="G29" i="4"/>
  <c r="F29" i="4"/>
  <c r="J29" i="4"/>
  <c r="E29" i="4"/>
  <c r="H30" i="11" l="1"/>
  <c r="G30" i="11"/>
  <c r="F30" i="11"/>
  <c r="E30" i="11"/>
  <c r="D30" i="11"/>
  <c r="A37" i="3"/>
  <c r="X36" i="3"/>
  <c r="A31" i="11"/>
  <c r="I30" i="4"/>
  <c r="E30" i="4"/>
  <c r="H30" i="4"/>
  <c r="G30" i="4"/>
  <c r="F30" i="4"/>
  <c r="J30" i="4"/>
  <c r="K30" i="4"/>
  <c r="L30" i="4"/>
  <c r="B31" i="3"/>
  <c r="D31" i="4"/>
  <c r="N31" i="4" s="1"/>
  <c r="I29" i="3"/>
  <c r="H29" i="3"/>
  <c r="A38" i="3" l="1"/>
  <c r="X37" i="3"/>
  <c r="H31" i="11"/>
  <c r="G31" i="11"/>
  <c r="F31" i="11"/>
  <c r="E31" i="11"/>
  <c r="D31" i="11"/>
  <c r="A32" i="11"/>
  <c r="B32" i="3"/>
  <c r="D32" i="4"/>
  <c r="N32" i="4" s="1"/>
  <c r="L31" i="4"/>
  <c r="J31" i="4"/>
  <c r="H31" i="4"/>
  <c r="E31" i="4"/>
  <c r="G31" i="4"/>
  <c r="F31" i="4"/>
  <c r="I31" i="4"/>
  <c r="K31" i="4"/>
  <c r="F32" i="11" l="1"/>
  <c r="E32" i="11"/>
  <c r="D32" i="11"/>
  <c r="H32" i="11"/>
  <c r="G32" i="11"/>
  <c r="A39" i="3"/>
  <c r="X38" i="3"/>
  <c r="A33" i="11"/>
  <c r="B33" i="3"/>
  <c r="D33" i="4"/>
  <c r="N33" i="4" s="1"/>
  <c r="L32" i="4"/>
  <c r="F32" i="4"/>
  <c r="J32" i="4"/>
  <c r="H32" i="4"/>
  <c r="I32" i="4"/>
  <c r="K32" i="4"/>
  <c r="E32" i="4"/>
  <c r="G32" i="4"/>
  <c r="A40" i="3" l="1"/>
  <c r="X39" i="3"/>
  <c r="G33" i="11"/>
  <c r="F33" i="11"/>
  <c r="E33" i="11"/>
  <c r="D33" i="11"/>
  <c r="H33" i="11"/>
  <c r="A34" i="11"/>
  <c r="B34" i="3"/>
  <c r="D34" i="4"/>
  <c r="N34" i="4" s="1"/>
  <c r="I33" i="4"/>
  <c r="K33" i="4"/>
  <c r="E33" i="4"/>
  <c r="L33" i="4"/>
  <c r="F33" i="4"/>
  <c r="O33" i="4"/>
  <c r="J33" i="4"/>
  <c r="H33" i="4"/>
  <c r="G33" i="4"/>
  <c r="H34" i="11" l="1"/>
  <c r="G34" i="11"/>
  <c r="F34" i="11"/>
  <c r="E34" i="11"/>
  <c r="D34" i="11"/>
  <c r="A41" i="3"/>
  <c r="X40" i="3"/>
  <c r="A35" i="11"/>
  <c r="K34" i="4"/>
  <c r="O34" i="4"/>
  <c r="E34" i="4"/>
  <c r="I34" i="4"/>
  <c r="F34" i="4"/>
  <c r="L34" i="4"/>
  <c r="J34" i="4"/>
  <c r="H34" i="4"/>
  <c r="G34" i="4"/>
  <c r="I33" i="3"/>
  <c r="H33" i="3"/>
  <c r="B35" i="3"/>
  <c r="D35" i="4"/>
  <c r="N35" i="4" s="1"/>
  <c r="A42" i="3" l="1"/>
  <c r="X41" i="3"/>
  <c r="H35" i="11"/>
  <c r="G35" i="11"/>
  <c r="F35" i="11"/>
  <c r="E35" i="11"/>
  <c r="D35" i="11"/>
  <c r="A36" i="11"/>
  <c r="O35" i="4"/>
  <c r="F35" i="4"/>
  <c r="J35" i="4"/>
  <c r="L35" i="4"/>
  <c r="E35" i="4"/>
  <c r="I35" i="4"/>
  <c r="G35" i="4"/>
  <c r="K35" i="4"/>
  <c r="H35" i="4"/>
  <c r="B36" i="3"/>
  <c r="D36" i="4"/>
  <c r="N36" i="4" s="1"/>
  <c r="H34" i="3"/>
  <c r="I34" i="3"/>
  <c r="H36" i="11" l="1"/>
  <c r="G36" i="11"/>
  <c r="F36" i="11"/>
  <c r="E36" i="11"/>
  <c r="D36" i="11"/>
  <c r="A43" i="3"/>
  <c r="X42" i="3"/>
  <c r="A37" i="11"/>
  <c r="H35" i="3"/>
  <c r="I35" i="3"/>
  <c r="B37" i="3"/>
  <c r="D37" i="4"/>
  <c r="N37" i="4" s="1"/>
  <c r="O36" i="4"/>
  <c r="H36" i="4"/>
  <c r="I36" i="4"/>
  <c r="F36" i="4"/>
  <c r="G36" i="4"/>
  <c r="E36" i="4"/>
  <c r="J36" i="4"/>
  <c r="L36" i="4"/>
  <c r="K36" i="4"/>
  <c r="H37" i="11" l="1"/>
  <c r="G37" i="11"/>
  <c r="F37" i="11"/>
  <c r="E37" i="11"/>
  <c r="D37" i="11"/>
  <c r="A44" i="3"/>
  <c r="X43" i="3"/>
  <c r="A38" i="11"/>
  <c r="H36" i="3"/>
  <c r="I36" i="3"/>
  <c r="B38" i="3"/>
  <c r="D38" i="4"/>
  <c r="N38" i="4" s="1"/>
  <c r="K37" i="4"/>
  <c r="H37" i="4"/>
  <c r="F37" i="4"/>
  <c r="I37" i="4"/>
  <c r="G37" i="4"/>
  <c r="L37" i="4"/>
  <c r="J37" i="4"/>
  <c r="E37" i="4"/>
  <c r="O37" i="4"/>
  <c r="A45" i="3" l="1"/>
  <c r="X44" i="3"/>
  <c r="H38" i="11"/>
  <c r="G38" i="11"/>
  <c r="F38" i="11"/>
  <c r="E38" i="11"/>
  <c r="D38" i="11"/>
  <c r="A39" i="11"/>
  <c r="F38" i="4"/>
  <c r="K38" i="4"/>
  <c r="I38" i="4"/>
  <c r="H38" i="4"/>
  <c r="L38" i="4"/>
  <c r="G38" i="4"/>
  <c r="J38" i="4"/>
  <c r="O38" i="4"/>
  <c r="E38" i="4"/>
  <c r="H37" i="3"/>
  <c r="I37" i="3"/>
  <c r="B39" i="3"/>
  <c r="D39" i="4"/>
  <c r="N39" i="4" s="1"/>
  <c r="H39" i="11" l="1"/>
  <c r="G39" i="11"/>
  <c r="F39" i="11"/>
  <c r="E39" i="11"/>
  <c r="D39" i="11"/>
  <c r="A46" i="3"/>
  <c r="X45" i="3"/>
  <c r="A40" i="11"/>
  <c r="B40" i="3"/>
  <c r="D40" i="4"/>
  <c r="N40" i="4" s="1"/>
  <c r="H38" i="3"/>
  <c r="I38" i="3"/>
  <c r="K39" i="4"/>
  <c r="L39" i="4"/>
  <c r="E39" i="4"/>
  <c r="J39" i="4"/>
  <c r="F39" i="4"/>
  <c r="G39" i="4"/>
  <c r="O39" i="4"/>
  <c r="I39" i="4"/>
  <c r="H39" i="4"/>
  <c r="A47" i="3" l="1"/>
  <c r="X46" i="3"/>
  <c r="G40" i="11"/>
  <c r="F40" i="11"/>
  <c r="D40" i="11"/>
  <c r="E40" i="11"/>
  <c r="H40" i="11"/>
  <c r="A41" i="11"/>
  <c r="O40" i="4"/>
  <c r="H40" i="4"/>
  <c r="F40" i="4"/>
  <c r="G40" i="4"/>
  <c r="K40" i="4"/>
  <c r="E40" i="4"/>
  <c r="I40" i="4"/>
  <c r="J40" i="4"/>
  <c r="L40" i="4"/>
  <c r="H39" i="3"/>
  <c r="I39" i="3"/>
  <c r="B41" i="3"/>
  <c r="D41" i="4"/>
  <c r="N41" i="4" s="1"/>
  <c r="H41" i="11" l="1"/>
  <c r="G41" i="11"/>
  <c r="F41" i="11"/>
  <c r="D41" i="11"/>
  <c r="E41" i="11"/>
  <c r="A48" i="3"/>
  <c r="X47" i="3"/>
  <c r="A42" i="11"/>
  <c r="B42" i="3"/>
  <c r="D42" i="4"/>
  <c r="N42" i="4" s="1"/>
  <c r="L41" i="4"/>
  <c r="J41" i="4"/>
  <c r="O41" i="4"/>
  <c r="H41" i="4"/>
  <c r="K41" i="4"/>
  <c r="E41" i="4"/>
  <c r="G41" i="4"/>
  <c r="F41" i="4"/>
  <c r="I41" i="4"/>
  <c r="I40" i="3"/>
  <c r="H40" i="3"/>
  <c r="H42" i="11" l="1"/>
  <c r="G42" i="11"/>
  <c r="F42" i="11"/>
  <c r="E42" i="11"/>
  <c r="D42" i="11"/>
  <c r="A49" i="3"/>
  <c r="X48" i="3"/>
  <c r="A43" i="11"/>
  <c r="B43" i="3"/>
  <c r="D43" i="4"/>
  <c r="N43" i="4" s="1"/>
  <c r="H41" i="3"/>
  <c r="I41" i="3"/>
  <c r="J42" i="4"/>
  <c r="L42" i="4"/>
  <c r="G42" i="4"/>
  <c r="O42" i="4"/>
  <c r="E42" i="4"/>
  <c r="F42" i="4"/>
  <c r="K42" i="4"/>
  <c r="I42" i="4"/>
  <c r="H42" i="4"/>
  <c r="H43" i="11" l="1"/>
  <c r="G43" i="11"/>
  <c r="F43" i="11"/>
  <c r="E43" i="11"/>
  <c r="D43" i="11"/>
  <c r="A50" i="3"/>
  <c r="X49" i="3"/>
  <c r="A44" i="11"/>
  <c r="H42" i="3"/>
  <c r="I42" i="3"/>
  <c r="H43" i="4"/>
  <c r="K43" i="4"/>
  <c r="G43" i="4"/>
  <c r="I43" i="4"/>
  <c r="J43" i="4"/>
  <c r="E43" i="4"/>
  <c r="O43" i="4"/>
  <c r="L43" i="4"/>
  <c r="F43" i="4"/>
  <c r="B44" i="3"/>
  <c r="D44" i="4"/>
  <c r="N44" i="4" s="1"/>
  <c r="H44" i="11" l="1"/>
  <c r="G44" i="11"/>
  <c r="F44" i="11"/>
  <c r="E44" i="11"/>
  <c r="D44" i="11"/>
  <c r="A51" i="3"/>
  <c r="X50" i="3"/>
  <c r="A45" i="11"/>
  <c r="B45" i="3"/>
  <c r="D45" i="4"/>
  <c r="N45" i="4" s="1"/>
  <c r="G44" i="4"/>
  <c r="E44" i="4"/>
  <c r="K44" i="4"/>
  <c r="O44" i="4"/>
  <c r="H44" i="4"/>
  <c r="I44" i="4"/>
  <c r="F44" i="4"/>
  <c r="L44" i="4"/>
  <c r="J44" i="4"/>
  <c r="H43" i="3"/>
  <c r="I43" i="3"/>
  <c r="A52" i="3" l="1"/>
  <c r="X51" i="3"/>
  <c r="H45" i="11"/>
  <c r="G45" i="11"/>
  <c r="F45" i="11"/>
  <c r="E45" i="11"/>
  <c r="D45" i="11"/>
  <c r="A46" i="11"/>
  <c r="I44" i="3"/>
  <c r="H44" i="3"/>
  <c r="B46" i="3"/>
  <c r="D46" i="4"/>
  <c r="N46" i="4" s="1"/>
  <c r="O45" i="4"/>
  <c r="H45" i="4"/>
  <c r="F45" i="4"/>
  <c r="G45" i="4"/>
  <c r="I45" i="4"/>
  <c r="E45" i="4"/>
  <c r="J45" i="4"/>
  <c r="L45" i="4"/>
  <c r="K45" i="4"/>
  <c r="H46" i="11" l="1"/>
  <c r="G46" i="11"/>
  <c r="F46" i="11"/>
  <c r="E46" i="11"/>
  <c r="D46" i="11"/>
  <c r="A53" i="3"/>
  <c r="X52" i="3"/>
  <c r="A47" i="11"/>
  <c r="O46" i="4"/>
  <c r="F46" i="4"/>
  <c r="E46" i="4"/>
  <c r="L46" i="4"/>
  <c r="H46" i="4"/>
  <c r="K46" i="4"/>
  <c r="G46" i="4"/>
  <c r="I46" i="4"/>
  <c r="J46" i="4"/>
  <c r="H45" i="3"/>
  <c r="I45" i="3"/>
  <c r="B47" i="3"/>
  <c r="D47" i="4"/>
  <c r="N47" i="4" s="1"/>
  <c r="H47" i="11" l="1"/>
  <c r="G47" i="11"/>
  <c r="F47" i="11"/>
  <c r="E47" i="11"/>
  <c r="D47" i="11"/>
  <c r="A54" i="3"/>
  <c r="X53" i="3"/>
  <c r="A48" i="11"/>
  <c r="I46" i="3"/>
  <c r="H46" i="3"/>
  <c r="B48" i="3"/>
  <c r="D48" i="4"/>
  <c r="N48" i="4" s="1"/>
  <c r="I47" i="4"/>
  <c r="E47" i="4"/>
  <c r="F47" i="4"/>
  <c r="H47" i="4"/>
  <c r="K47" i="4"/>
  <c r="L47" i="4"/>
  <c r="J47" i="4"/>
  <c r="O47" i="4"/>
  <c r="G47" i="4"/>
  <c r="A55" i="3" l="1"/>
  <c r="X54" i="3"/>
  <c r="H48" i="11"/>
  <c r="G48" i="11"/>
  <c r="D48" i="11"/>
  <c r="F48" i="11"/>
  <c r="E48" i="11"/>
  <c r="A49" i="11"/>
  <c r="I47" i="3"/>
  <c r="H47" i="3"/>
  <c r="E48" i="4"/>
  <c r="O48" i="4"/>
  <c r="J48" i="4"/>
  <c r="F48" i="4"/>
  <c r="H48" i="4"/>
  <c r="I48" i="4"/>
  <c r="K48" i="4"/>
  <c r="L48" i="4"/>
  <c r="G48" i="4"/>
  <c r="B49" i="3"/>
  <c r="D49" i="4"/>
  <c r="N49" i="4" s="1"/>
  <c r="E49" i="11" l="1"/>
  <c r="H49" i="11"/>
  <c r="G49" i="11"/>
  <c r="D49" i="11"/>
  <c r="F49" i="11"/>
  <c r="A56" i="3"/>
  <c r="X55" i="3"/>
  <c r="A50" i="11"/>
  <c r="I48" i="3"/>
  <c r="H48" i="3"/>
  <c r="O49" i="4"/>
  <c r="F49" i="4"/>
  <c r="J49" i="4"/>
  <c r="K49" i="4"/>
  <c r="H49" i="4"/>
  <c r="G49" i="4"/>
  <c r="E49" i="4"/>
  <c r="I49" i="4"/>
  <c r="L49" i="4"/>
  <c r="B50" i="3"/>
  <c r="D50" i="4"/>
  <c r="N50" i="4" s="1"/>
  <c r="H50" i="11" l="1"/>
  <c r="G50" i="11"/>
  <c r="F50" i="11"/>
  <c r="E50" i="11"/>
  <c r="D50" i="11"/>
  <c r="A57" i="3"/>
  <c r="X56" i="3"/>
  <c r="A51" i="11"/>
  <c r="H49" i="3"/>
  <c r="I49" i="3"/>
  <c r="O50" i="4"/>
  <c r="H50" i="4"/>
  <c r="G50" i="4"/>
  <c r="I50" i="4"/>
  <c r="F50" i="4"/>
  <c r="K50" i="4"/>
  <c r="J50" i="4"/>
  <c r="L50" i="4"/>
  <c r="E50" i="4"/>
  <c r="B51" i="3"/>
  <c r="D51" i="4"/>
  <c r="N51" i="4" s="1"/>
  <c r="A58" i="3" l="1"/>
  <c r="X57" i="3"/>
  <c r="H51" i="11"/>
  <c r="G51" i="11"/>
  <c r="F51" i="11"/>
  <c r="E51" i="11"/>
  <c r="D51" i="11"/>
  <c r="A52" i="11"/>
  <c r="H50" i="3"/>
  <c r="I50" i="3"/>
  <c r="O51" i="4"/>
  <c r="H51" i="4"/>
  <c r="G51" i="4"/>
  <c r="K51" i="4"/>
  <c r="I51" i="4"/>
  <c r="J51" i="4"/>
  <c r="L51" i="4"/>
  <c r="E51" i="4"/>
  <c r="F51" i="4"/>
  <c r="B52" i="3"/>
  <c r="D52" i="4"/>
  <c r="N52" i="4" s="1"/>
  <c r="H52" i="11" l="1"/>
  <c r="G52" i="11"/>
  <c r="F52" i="11"/>
  <c r="E52" i="11"/>
  <c r="D52" i="11"/>
  <c r="A59" i="3"/>
  <c r="X58" i="3"/>
  <c r="A53" i="11"/>
  <c r="I52" i="4"/>
  <c r="K52" i="4"/>
  <c r="E52" i="4"/>
  <c r="O52" i="4"/>
  <c r="H52" i="4"/>
  <c r="G52" i="4"/>
  <c r="L52" i="4"/>
  <c r="F52" i="4"/>
  <c r="J52" i="4"/>
  <c r="B53" i="3"/>
  <c r="D53" i="4"/>
  <c r="N53" i="4" s="1"/>
  <c r="I51" i="3"/>
  <c r="H51" i="3"/>
  <c r="H53" i="11" l="1"/>
  <c r="G53" i="11"/>
  <c r="F53" i="11"/>
  <c r="E53" i="11"/>
  <c r="D53" i="11"/>
  <c r="A60" i="3"/>
  <c r="X59" i="3"/>
  <c r="A54" i="11"/>
  <c r="I52" i="3"/>
  <c r="H52" i="3"/>
  <c r="K53" i="4"/>
  <c r="G53" i="4"/>
  <c r="L53" i="4"/>
  <c r="E53" i="4"/>
  <c r="J53" i="4"/>
  <c r="F53" i="4"/>
  <c r="O53" i="4"/>
  <c r="I53" i="4"/>
  <c r="H53" i="4"/>
  <c r="B54" i="3"/>
  <c r="D54" i="4"/>
  <c r="N54" i="4" s="1"/>
  <c r="H54" i="11" l="1"/>
  <c r="G54" i="11"/>
  <c r="F54" i="11"/>
  <c r="E54" i="11"/>
  <c r="D54" i="11"/>
  <c r="A61" i="3"/>
  <c r="X60" i="3"/>
  <c r="A55" i="11"/>
  <c r="B55" i="3"/>
  <c r="D55" i="4"/>
  <c r="N55" i="4" s="1"/>
  <c r="I54" i="4"/>
  <c r="G54" i="4"/>
  <c r="K54" i="4"/>
  <c r="L54" i="4"/>
  <c r="F54" i="4"/>
  <c r="E54" i="4"/>
  <c r="J54" i="4"/>
  <c r="O54" i="4"/>
  <c r="H54" i="4"/>
  <c r="H53" i="3"/>
  <c r="I53" i="3"/>
  <c r="H55" i="11" l="1"/>
  <c r="G55" i="11"/>
  <c r="F55" i="11"/>
  <c r="E55" i="11"/>
  <c r="D55" i="11"/>
  <c r="A62" i="3"/>
  <c r="X61" i="3"/>
  <c r="A56" i="11"/>
  <c r="G55" i="4"/>
  <c r="H55" i="4"/>
  <c r="I55" i="4"/>
  <c r="K55" i="4"/>
  <c r="J55" i="4"/>
  <c r="E55" i="4"/>
  <c r="O55" i="4"/>
  <c r="L55" i="4"/>
  <c r="F55" i="4"/>
  <c r="B56" i="3"/>
  <c r="D56" i="4"/>
  <c r="N56" i="4" s="1"/>
  <c r="I54" i="3"/>
  <c r="H54" i="3"/>
  <c r="E56" i="11" l="1"/>
  <c r="H56" i="11"/>
  <c r="D56" i="11"/>
  <c r="G56" i="11"/>
  <c r="F56" i="11"/>
  <c r="A63" i="3"/>
  <c r="X62" i="3"/>
  <c r="A57" i="11"/>
  <c r="H55" i="3"/>
  <c r="I55" i="3"/>
  <c r="K56" i="4"/>
  <c r="G56" i="4"/>
  <c r="I56" i="4"/>
  <c r="E56" i="4"/>
  <c r="L56" i="4"/>
  <c r="F56" i="4"/>
  <c r="J56" i="4"/>
  <c r="O56" i="4"/>
  <c r="H56" i="4"/>
  <c r="B57" i="3"/>
  <c r="D57" i="4"/>
  <c r="N57" i="4" s="1"/>
  <c r="F57" i="11" l="1"/>
  <c r="E57" i="11"/>
  <c r="H57" i="11"/>
  <c r="D57" i="11"/>
  <c r="G57" i="11"/>
  <c r="A64" i="3"/>
  <c r="X63" i="3"/>
  <c r="A58" i="11"/>
  <c r="B58" i="3"/>
  <c r="D58" i="4"/>
  <c r="N58" i="4" s="1"/>
  <c r="I57" i="4"/>
  <c r="E57" i="4"/>
  <c r="J57" i="4"/>
  <c r="F57" i="4"/>
  <c r="L57" i="4"/>
  <c r="H57" i="4"/>
  <c r="K57" i="4"/>
  <c r="O57" i="4"/>
  <c r="G57" i="4"/>
  <c r="I56" i="3"/>
  <c r="H56" i="3"/>
  <c r="H58" i="11" l="1"/>
  <c r="G58" i="11"/>
  <c r="F58" i="11"/>
  <c r="E58" i="11"/>
  <c r="D58" i="11"/>
  <c r="A65" i="3"/>
  <c r="X64" i="3"/>
  <c r="A59" i="11"/>
  <c r="F58" i="4"/>
  <c r="E58" i="4"/>
  <c r="I58" i="4"/>
  <c r="K58" i="4"/>
  <c r="O58" i="4"/>
  <c r="L58" i="4"/>
  <c r="H58" i="4"/>
  <c r="G58" i="4"/>
  <c r="J58" i="4"/>
  <c r="B59" i="3"/>
  <c r="D59" i="4"/>
  <c r="N59" i="4" s="1"/>
  <c r="I57" i="3"/>
  <c r="H57" i="3"/>
  <c r="H59" i="11" l="1"/>
  <c r="G59" i="11"/>
  <c r="F59" i="11"/>
  <c r="E59" i="11"/>
  <c r="D59" i="11"/>
  <c r="A66" i="3"/>
  <c r="X65" i="3"/>
  <c r="A60" i="11"/>
  <c r="O59" i="4"/>
  <c r="E59" i="4"/>
  <c r="F59" i="4"/>
  <c r="G59" i="4"/>
  <c r="K59" i="4"/>
  <c r="I59" i="4"/>
  <c r="L59" i="4"/>
  <c r="J59" i="4"/>
  <c r="H59" i="4"/>
  <c r="B60" i="3"/>
  <c r="D60" i="4"/>
  <c r="N60" i="4" s="1"/>
  <c r="H58" i="3"/>
  <c r="I58" i="3"/>
  <c r="H60" i="11" l="1"/>
  <c r="G60" i="11"/>
  <c r="F60" i="11"/>
  <c r="E60" i="11"/>
  <c r="D60" i="11"/>
  <c r="A67" i="3"/>
  <c r="X66" i="3"/>
  <c r="A61" i="11"/>
  <c r="B61" i="3"/>
  <c r="D61" i="4"/>
  <c r="N61" i="4" s="1"/>
  <c r="I59" i="3"/>
  <c r="H59" i="3"/>
  <c r="L60" i="4"/>
  <c r="E60" i="4"/>
  <c r="F60" i="4"/>
  <c r="G60" i="4"/>
  <c r="O60" i="4"/>
  <c r="I60" i="4"/>
  <c r="J60" i="4"/>
  <c r="K60" i="4"/>
  <c r="H60" i="4"/>
  <c r="A68" i="3" l="1"/>
  <c r="X67" i="3"/>
  <c r="H61" i="11"/>
  <c r="G61" i="11"/>
  <c r="F61" i="11"/>
  <c r="E61" i="11"/>
  <c r="D61" i="11"/>
  <c r="A62" i="11"/>
  <c r="K61" i="4"/>
  <c r="I61" i="4"/>
  <c r="F61" i="4"/>
  <c r="G61" i="4"/>
  <c r="L61" i="4"/>
  <c r="E61" i="4"/>
  <c r="J61" i="4"/>
  <c r="O61" i="4"/>
  <c r="H61" i="4"/>
  <c r="H60" i="3"/>
  <c r="I60" i="3"/>
  <c r="B62" i="3"/>
  <c r="D62" i="4"/>
  <c r="N62" i="4" s="1"/>
  <c r="H62" i="11" l="1"/>
  <c r="G62" i="11"/>
  <c r="F62" i="11"/>
  <c r="E62" i="11"/>
  <c r="D62" i="11"/>
  <c r="A69" i="3"/>
  <c r="X68" i="3"/>
  <c r="A63" i="11"/>
  <c r="K62" i="4"/>
  <c r="I62" i="4"/>
  <c r="J62" i="4"/>
  <c r="L62" i="4"/>
  <c r="E62" i="4"/>
  <c r="O62" i="4"/>
  <c r="F62" i="4"/>
  <c r="H62" i="4"/>
  <c r="G62" i="4"/>
  <c r="B63" i="3"/>
  <c r="D63" i="4"/>
  <c r="N63" i="4" s="1"/>
  <c r="H61" i="3"/>
  <c r="I61" i="3"/>
  <c r="H63" i="11" l="1"/>
  <c r="G63" i="11"/>
  <c r="F63" i="11"/>
  <c r="E63" i="11"/>
  <c r="D63" i="11"/>
  <c r="A70" i="3"/>
  <c r="X69" i="3"/>
  <c r="A64" i="11"/>
  <c r="B64" i="3"/>
  <c r="D64" i="4"/>
  <c r="N64" i="4" s="1"/>
  <c r="O63" i="4"/>
  <c r="G63" i="4"/>
  <c r="I63" i="4"/>
  <c r="L63" i="4"/>
  <c r="E63" i="4"/>
  <c r="K63" i="4"/>
  <c r="J63" i="4"/>
  <c r="H63" i="4"/>
  <c r="F63" i="4"/>
  <c r="H62" i="3"/>
  <c r="I62" i="3"/>
  <c r="F64" i="11" l="1"/>
  <c r="E64" i="11"/>
  <c r="D64" i="11"/>
  <c r="H64" i="11"/>
  <c r="G64" i="11"/>
  <c r="A71" i="3"/>
  <c r="X70" i="3"/>
  <c r="A65" i="11"/>
  <c r="J64" i="4"/>
  <c r="E64" i="4"/>
  <c r="F64" i="4"/>
  <c r="O64" i="4"/>
  <c r="H64" i="4"/>
  <c r="G64" i="4"/>
  <c r="L64" i="4"/>
  <c r="I64" i="4"/>
  <c r="K64" i="4"/>
  <c r="B65" i="3"/>
  <c r="D65" i="4"/>
  <c r="N65" i="4" s="1"/>
  <c r="I63" i="3"/>
  <c r="H63" i="3"/>
  <c r="G65" i="11" l="1"/>
  <c r="F65" i="11"/>
  <c r="E65" i="11"/>
  <c r="D65" i="11"/>
  <c r="H65" i="11"/>
  <c r="A72" i="3"/>
  <c r="X71" i="3"/>
  <c r="A66" i="11"/>
  <c r="I64" i="3"/>
  <c r="H64" i="3"/>
  <c r="H65" i="4"/>
  <c r="O65" i="4"/>
  <c r="G65" i="4"/>
  <c r="I65" i="4"/>
  <c r="L65" i="4"/>
  <c r="E65" i="4"/>
  <c r="F65" i="4"/>
  <c r="K65" i="4"/>
  <c r="J65" i="4"/>
  <c r="B66" i="3"/>
  <c r="D66" i="4"/>
  <c r="N66" i="4" s="1"/>
  <c r="H66" i="11" l="1"/>
  <c r="G66" i="11"/>
  <c r="F66" i="11"/>
  <c r="E66" i="11"/>
  <c r="D66" i="11"/>
  <c r="A73" i="3"/>
  <c r="X72" i="3"/>
  <c r="A67" i="11"/>
  <c r="O66" i="4"/>
  <c r="G66" i="4"/>
  <c r="K66" i="4"/>
  <c r="I66" i="4"/>
  <c r="E66" i="4"/>
  <c r="L66" i="4"/>
  <c r="H66" i="4"/>
  <c r="J66" i="4"/>
  <c r="F66" i="4"/>
  <c r="B67" i="3"/>
  <c r="D67" i="4"/>
  <c r="N67" i="4" s="1"/>
  <c r="H65" i="3"/>
  <c r="I65" i="3"/>
  <c r="H67" i="11" l="1"/>
  <c r="G67" i="11"/>
  <c r="F67" i="11"/>
  <c r="E67" i="11"/>
  <c r="D67" i="11"/>
  <c r="A74" i="3"/>
  <c r="X73" i="3"/>
  <c r="A68" i="11"/>
  <c r="B68" i="3"/>
  <c r="D68" i="4"/>
  <c r="N68" i="4" s="1"/>
  <c r="I66" i="3"/>
  <c r="H66" i="3"/>
  <c r="O67" i="4"/>
  <c r="K67" i="4"/>
  <c r="G67" i="4"/>
  <c r="H67" i="4"/>
  <c r="I67" i="4"/>
  <c r="E67" i="4"/>
  <c r="L67" i="4"/>
  <c r="J67" i="4"/>
  <c r="F67" i="4"/>
  <c r="H68" i="11" l="1"/>
  <c r="G68" i="11"/>
  <c r="F68" i="11"/>
  <c r="E68" i="11"/>
  <c r="D68" i="11"/>
  <c r="A75" i="3"/>
  <c r="X74" i="3"/>
  <c r="A69" i="11"/>
  <c r="H67" i="3"/>
  <c r="I67" i="3"/>
  <c r="B69" i="3"/>
  <c r="D69" i="4"/>
  <c r="N69" i="4" s="1"/>
  <c r="I68" i="4"/>
  <c r="L68" i="4"/>
  <c r="F68" i="4"/>
  <c r="O68" i="4"/>
  <c r="H68" i="4"/>
  <c r="E68" i="4"/>
  <c r="G68" i="4"/>
  <c r="J68" i="4"/>
  <c r="K68" i="4"/>
  <c r="H69" i="11" l="1"/>
  <c r="G69" i="11"/>
  <c r="F69" i="11"/>
  <c r="E69" i="11"/>
  <c r="D69" i="11"/>
  <c r="A76" i="3"/>
  <c r="X75" i="3"/>
  <c r="A70" i="11"/>
  <c r="B70" i="3"/>
  <c r="D70" i="4"/>
  <c r="N70" i="4" s="1"/>
  <c r="H68" i="3"/>
  <c r="I68" i="3"/>
  <c r="O69" i="4"/>
  <c r="G69" i="4"/>
  <c r="K69" i="4"/>
  <c r="H69" i="4"/>
  <c r="L69" i="4"/>
  <c r="E69" i="4"/>
  <c r="I69" i="4"/>
  <c r="F69" i="4"/>
  <c r="J69" i="4"/>
  <c r="H70" i="11" l="1"/>
  <c r="G70" i="11"/>
  <c r="F70" i="11"/>
  <c r="E70" i="11"/>
  <c r="D70" i="11"/>
  <c r="A77" i="3"/>
  <c r="X76" i="3"/>
  <c r="A71" i="11"/>
  <c r="O70" i="4"/>
  <c r="F70" i="4"/>
  <c r="I70" i="4"/>
  <c r="H70" i="4"/>
  <c r="K70" i="4"/>
  <c r="L70" i="4"/>
  <c r="J70" i="4"/>
  <c r="G70" i="4"/>
  <c r="E70" i="4"/>
  <c r="B71" i="3"/>
  <c r="D71" i="4"/>
  <c r="N71" i="4" s="1"/>
  <c r="H69" i="3"/>
  <c r="I69" i="3"/>
  <c r="H71" i="11" l="1"/>
  <c r="G71" i="11"/>
  <c r="F71" i="11"/>
  <c r="E71" i="11"/>
  <c r="D71" i="11"/>
  <c r="A78" i="3"/>
  <c r="X77" i="3"/>
  <c r="A72" i="11"/>
  <c r="I71" i="4"/>
  <c r="G71" i="4"/>
  <c r="E71" i="4"/>
  <c r="K71" i="4"/>
  <c r="J71" i="4"/>
  <c r="F71" i="4"/>
  <c r="L71" i="4"/>
  <c r="H71" i="4"/>
  <c r="O71" i="4"/>
  <c r="B72" i="3"/>
  <c r="D72" i="4"/>
  <c r="N72" i="4" s="1"/>
  <c r="H70" i="3"/>
  <c r="I70" i="3"/>
  <c r="A79" i="3" l="1"/>
  <c r="X78" i="3"/>
  <c r="G72" i="11"/>
  <c r="F72" i="11"/>
  <c r="D72" i="11"/>
  <c r="E72" i="11"/>
  <c r="H72" i="11"/>
  <c r="A73" i="11"/>
  <c r="B73" i="3"/>
  <c r="D73" i="4"/>
  <c r="N73" i="4" s="1"/>
  <c r="H71" i="3"/>
  <c r="I71" i="3"/>
  <c r="I72" i="4"/>
  <c r="L72" i="4"/>
  <c r="O72" i="4"/>
  <c r="J72" i="4"/>
  <c r="H72" i="4"/>
  <c r="G72" i="4"/>
  <c r="E72" i="4"/>
  <c r="F72" i="4"/>
  <c r="K72" i="4"/>
  <c r="H73" i="11" l="1"/>
  <c r="G73" i="11"/>
  <c r="F73" i="11"/>
  <c r="D73" i="11"/>
  <c r="E73" i="11"/>
  <c r="A80" i="3"/>
  <c r="X79" i="3"/>
  <c r="A74" i="11"/>
  <c r="O73" i="4"/>
  <c r="L73" i="4"/>
  <c r="E73" i="4"/>
  <c r="G73" i="4"/>
  <c r="F73" i="4"/>
  <c r="I73" i="4"/>
  <c r="K73" i="4"/>
  <c r="H73" i="4"/>
  <c r="J73" i="4"/>
  <c r="B74" i="3"/>
  <c r="D74" i="4"/>
  <c r="N74" i="4" s="1"/>
  <c r="H72" i="3"/>
  <c r="I72" i="3"/>
  <c r="H74" i="11" l="1"/>
  <c r="G74" i="11"/>
  <c r="F74" i="11"/>
  <c r="D74" i="11"/>
  <c r="E74" i="11"/>
  <c r="A81" i="3"/>
  <c r="X80" i="3"/>
  <c r="A75" i="11"/>
  <c r="H73" i="3"/>
  <c r="I73" i="3"/>
  <c r="O74" i="4"/>
  <c r="K74" i="4"/>
  <c r="L74" i="4"/>
  <c r="H74" i="4"/>
  <c r="I74" i="4"/>
  <c r="G74" i="4"/>
  <c r="J74" i="4"/>
  <c r="E74" i="4"/>
  <c r="F74" i="4"/>
  <c r="B75" i="3"/>
  <c r="D75" i="4"/>
  <c r="N75" i="4" s="1"/>
  <c r="A82" i="3" l="1"/>
  <c r="X81" i="3"/>
  <c r="H75" i="11"/>
  <c r="G75" i="11"/>
  <c r="F75" i="11"/>
  <c r="E75" i="11"/>
  <c r="D75" i="11"/>
  <c r="A76" i="11"/>
  <c r="O75" i="4"/>
  <c r="G75" i="4"/>
  <c r="K75" i="4"/>
  <c r="J75" i="4"/>
  <c r="H75" i="4"/>
  <c r="I75" i="4"/>
  <c r="E75" i="4"/>
  <c r="L75" i="4"/>
  <c r="F75" i="4"/>
  <c r="B76" i="3"/>
  <c r="D76" i="4"/>
  <c r="N76" i="4" s="1"/>
  <c r="I74" i="3"/>
  <c r="H74" i="3"/>
  <c r="H76" i="11" l="1"/>
  <c r="G76" i="11"/>
  <c r="F76" i="11"/>
  <c r="E76" i="11"/>
  <c r="D76" i="11"/>
  <c r="A83" i="3"/>
  <c r="X82" i="3"/>
  <c r="A77" i="11"/>
  <c r="I75" i="3"/>
  <c r="H75" i="3"/>
  <c r="B77" i="3"/>
  <c r="D77" i="4"/>
  <c r="N77" i="4" s="1"/>
  <c r="O76" i="4"/>
  <c r="H76" i="4"/>
  <c r="K76" i="4"/>
  <c r="G76" i="4"/>
  <c r="F76" i="4"/>
  <c r="L76" i="4"/>
  <c r="I76" i="4"/>
  <c r="J76" i="4"/>
  <c r="E76" i="4"/>
  <c r="H77" i="11" l="1"/>
  <c r="G77" i="11"/>
  <c r="F77" i="11"/>
  <c r="D77" i="11"/>
  <c r="E77" i="11"/>
  <c r="A84" i="3"/>
  <c r="X83" i="3"/>
  <c r="A78" i="11"/>
  <c r="I76" i="3"/>
  <c r="H76" i="3"/>
  <c r="L77" i="4"/>
  <c r="O77" i="4"/>
  <c r="E77" i="4"/>
  <c r="G77" i="4"/>
  <c r="H77" i="4"/>
  <c r="F77" i="4"/>
  <c r="I77" i="4"/>
  <c r="K77" i="4"/>
  <c r="J77" i="4"/>
  <c r="B78" i="3"/>
  <c r="D78" i="4"/>
  <c r="N78" i="4" s="1"/>
  <c r="A85" i="3" l="1"/>
  <c r="X84" i="3"/>
  <c r="H78" i="11"/>
  <c r="G78" i="11"/>
  <c r="F78" i="11"/>
  <c r="E78" i="11"/>
  <c r="D78" i="11"/>
  <c r="A79" i="11"/>
  <c r="I78" i="4"/>
  <c r="H78" i="4"/>
  <c r="G78" i="4"/>
  <c r="L78" i="4"/>
  <c r="E78" i="4"/>
  <c r="K78" i="4"/>
  <c r="J78" i="4"/>
  <c r="F78" i="4"/>
  <c r="O78" i="4"/>
  <c r="B79" i="3"/>
  <c r="D79" i="4"/>
  <c r="N79" i="4" s="1"/>
  <c r="H77" i="3"/>
  <c r="I77" i="3"/>
  <c r="A86" i="3" l="1"/>
  <c r="X85" i="3"/>
  <c r="H79" i="11"/>
  <c r="G79" i="11"/>
  <c r="F79" i="11"/>
  <c r="E79" i="11"/>
  <c r="D79" i="11"/>
  <c r="A80" i="11"/>
  <c r="K79" i="4"/>
  <c r="I79" i="4"/>
  <c r="L79" i="4"/>
  <c r="H79" i="4"/>
  <c r="F79" i="4"/>
  <c r="J79" i="4"/>
  <c r="G79" i="4"/>
  <c r="E79" i="4"/>
  <c r="O79" i="4"/>
  <c r="B80" i="3"/>
  <c r="D80" i="4"/>
  <c r="N80" i="4" s="1"/>
  <c r="I78" i="3"/>
  <c r="H78" i="3"/>
  <c r="H80" i="11" l="1"/>
  <c r="G80" i="11"/>
  <c r="E80" i="11"/>
  <c r="D80" i="11"/>
  <c r="F80" i="11"/>
  <c r="A87" i="3"/>
  <c r="X86" i="3"/>
  <c r="A81" i="11"/>
  <c r="B81" i="3"/>
  <c r="D81" i="4"/>
  <c r="N81" i="4" s="1"/>
  <c r="H79" i="3"/>
  <c r="I79" i="3"/>
  <c r="H80" i="4"/>
  <c r="I80" i="4"/>
  <c r="K80" i="4"/>
  <c r="J80" i="4"/>
  <c r="E80" i="4"/>
  <c r="L80" i="4"/>
  <c r="F80" i="4"/>
  <c r="O80" i="4"/>
  <c r="G80" i="4"/>
  <c r="H81" i="11" l="1"/>
  <c r="G81" i="11"/>
  <c r="E81" i="11"/>
  <c r="D81" i="11"/>
  <c r="F81" i="11"/>
  <c r="A88" i="3"/>
  <c r="X87" i="3"/>
  <c r="A82" i="11"/>
  <c r="J81" i="4"/>
  <c r="L81" i="4"/>
  <c r="E81" i="4"/>
  <c r="K81" i="4"/>
  <c r="I81" i="4"/>
  <c r="O81" i="4"/>
  <c r="H81" i="4"/>
  <c r="F81" i="4"/>
  <c r="G81" i="4"/>
  <c r="B82" i="3"/>
  <c r="D82" i="4"/>
  <c r="N82" i="4" s="1"/>
  <c r="I80" i="3"/>
  <c r="H80" i="3"/>
  <c r="H82" i="11" l="1"/>
  <c r="G82" i="11"/>
  <c r="F82" i="11"/>
  <c r="E82" i="11"/>
  <c r="D82" i="11"/>
  <c r="A89" i="3"/>
  <c r="X88" i="3"/>
  <c r="A83" i="11"/>
  <c r="I82" i="4"/>
  <c r="F82" i="4"/>
  <c r="J82" i="4"/>
  <c r="O82" i="4"/>
  <c r="L82" i="4"/>
  <c r="H82" i="4"/>
  <c r="E82" i="4"/>
  <c r="K82" i="4"/>
  <c r="G82" i="4"/>
  <c r="I81" i="3"/>
  <c r="H81" i="3"/>
  <c r="B83" i="3"/>
  <c r="D83" i="4"/>
  <c r="N83" i="4" s="1"/>
  <c r="H83" i="11" l="1"/>
  <c r="G83" i="11"/>
  <c r="F83" i="11"/>
  <c r="E83" i="11"/>
  <c r="D83" i="11"/>
  <c r="A90" i="3"/>
  <c r="X89" i="3"/>
  <c r="A84" i="11"/>
  <c r="O83" i="4"/>
  <c r="H83" i="4"/>
  <c r="G83" i="4"/>
  <c r="J83" i="4"/>
  <c r="I83" i="4"/>
  <c r="K83" i="4"/>
  <c r="L83" i="4"/>
  <c r="E83" i="4"/>
  <c r="F83" i="4"/>
  <c r="B84" i="3"/>
  <c r="D84" i="4"/>
  <c r="N84" i="4" s="1"/>
  <c r="H82" i="3"/>
  <c r="I82" i="3"/>
  <c r="H84" i="11" l="1"/>
  <c r="G84" i="11"/>
  <c r="F84" i="11"/>
  <c r="E84" i="11"/>
  <c r="D84" i="11"/>
  <c r="A91" i="3"/>
  <c r="X90" i="3"/>
  <c r="A85" i="11"/>
  <c r="B85" i="3"/>
  <c r="D85" i="4"/>
  <c r="N85" i="4" s="1"/>
  <c r="L84" i="4"/>
  <c r="J84" i="4"/>
  <c r="H84" i="4"/>
  <c r="O84" i="4"/>
  <c r="G84" i="4"/>
  <c r="E84" i="4"/>
  <c r="K84" i="4"/>
  <c r="I84" i="4"/>
  <c r="F84" i="4"/>
  <c r="H83" i="3"/>
  <c r="I83" i="3"/>
  <c r="H85" i="11" l="1"/>
  <c r="G85" i="11"/>
  <c r="F85" i="11"/>
  <c r="E85" i="11"/>
  <c r="D85" i="11"/>
  <c r="A92" i="3"/>
  <c r="X91" i="3"/>
  <c r="A86" i="11"/>
  <c r="G85" i="4"/>
  <c r="K85" i="4"/>
  <c r="H85" i="4"/>
  <c r="I85" i="4"/>
  <c r="J85" i="4"/>
  <c r="E85" i="4"/>
  <c r="L85" i="4"/>
  <c r="F85" i="4"/>
  <c r="O85" i="4"/>
  <c r="B86" i="3"/>
  <c r="D86" i="4"/>
  <c r="N86" i="4" s="1"/>
  <c r="H84" i="3"/>
  <c r="I84" i="3"/>
  <c r="H86" i="11" l="1"/>
  <c r="G86" i="11"/>
  <c r="F86" i="11"/>
  <c r="E86" i="11"/>
  <c r="D86" i="11"/>
  <c r="A93" i="3"/>
  <c r="X92" i="3"/>
  <c r="A87" i="11"/>
  <c r="H86" i="4"/>
  <c r="K86" i="4"/>
  <c r="J86" i="4"/>
  <c r="G86" i="4"/>
  <c r="E86" i="4"/>
  <c r="I86" i="4"/>
  <c r="L86" i="4"/>
  <c r="F86" i="4"/>
  <c r="O86" i="4"/>
  <c r="B87" i="3"/>
  <c r="D87" i="4"/>
  <c r="N87" i="4" s="1"/>
  <c r="H85" i="3"/>
  <c r="I85" i="3"/>
  <c r="A94" i="3" l="1"/>
  <c r="X93" i="3"/>
  <c r="H87" i="11"/>
  <c r="G87" i="11"/>
  <c r="F87" i="11"/>
  <c r="E87" i="11"/>
  <c r="D87" i="11"/>
  <c r="A88" i="11"/>
  <c r="I86" i="3"/>
  <c r="H86" i="3"/>
  <c r="K87" i="4"/>
  <c r="H87" i="4"/>
  <c r="I87" i="4"/>
  <c r="E87" i="4"/>
  <c r="F87" i="4"/>
  <c r="G87" i="4"/>
  <c r="L87" i="4"/>
  <c r="J87" i="4"/>
  <c r="O87" i="4"/>
  <c r="B88" i="3"/>
  <c r="D88" i="4"/>
  <c r="N88" i="4" s="1"/>
  <c r="H88" i="11" l="1"/>
  <c r="E88" i="11"/>
  <c r="D88" i="11"/>
  <c r="G88" i="11"/>
  <c r="F88" i="11"/>
  <c r="A95" i="3"/>
  <c r="X94" i="3"/>
  <c r="A89" i="11"/>
  <c r="H87" i="3"/>
  <c r="I87" i="3"/>
  <c r="O88" i="4"/>
  <c r="L88" i="4"/>
  <c r="E88" i="4"/>
  <c r="I88" i="4"/>
  <c r="H88" i="4"/>
  <c r="J88" i="4"/>
  <c r="F88" i="4"/>
  <c r="K88" i="4"/>
  <c r="G88" i="4"/>
  <c r="B89" i="3"/>
  <c r="D89" i="4"/>
  <c r="N89" i="4" s="1"/>
  <c r="A96" i="3" l="1"/>
  <c r="X95" i="3"/>
  <c r="F89" i="11"/>
  <c r="H89" i="11"/>
  <c r="E89" i="11"/>
  <c r="D89" i="11"/>
  <c r="G89" i="11"/>
  <c r="A90" i="11"/>
  <c r="F89" i="4"/>
  <c r="O89" i="4"/>
  <c r="L89" i="4"/>
  <c r="H89" i="4"/>
  <c r="J89" i="4"/>
  <c r="I89" i="4"/>
  <c r="K89" i="4"/>
  <c r="G89" i="4"/>
  <c r="E89" i="4"/>
  <c r="H88" i="3"/>
  <c r="I88" i="3"/>
  <c r="B90" i="3"/>
  <c r="D90" i="4"/>
  <c r="N90" i="4" s="1"/>
  <c r="H90" i="11" l="1"/>
  <c r="G90" i="11"/>
  <c r="F90" i="11"/>
  <c r="E90" i="11"/>
  <c r="D90" i="11"/>
  <c r="A97" i="3"/>
  <c r="X96" i="3"/>
  <c r="A91" i="11"/>
  <c r="H89" i="3"/>
  <c r="I89" i="3"/>
  <c r="B91" i="3"/>
  <c r="D91" i="4"/>
  <c r="N91" i="4" s="1"/>
  <c r="O90" i="4"/>
  <c r="L90" i="4"/>
  <c r="F90" i="4"/>
  <c r="I90" i="4"/>
  <c r="J90" i="4"/>
  <c r="E90" i="4"/>
  <c r="K90" i="4"/>
  <c r="H90" i="4"/>
  <c r="G90" i="4"/>
  <c r="H91" i="11" l="1"/>
  <c r="G91" i="11"/>
  <c r="F91" i="11"/>
  <c r="E91" i="11"/>
  <c r="D91" i="11"/>
  <c r="A98" i="3"/>
  <c r="X97" i="3"/>
  <c r="A92" i="11"/>
  <c r="H90" i="3"/>
  <c r="I90" i="3"/>
  <c r="O91" i="4"/>
  <c r="H91" i="4"/>
  <c r="F91" i="4"/>
  <c r="L91" i="4"/>
  <c r="K91" i="4"/>
  <c r="E91" i="4"/>
  <c r="J91" i="4"/>
  <c r="I91" i="4"/>
  <c r="G91" i="4"/>
  <c r="B92" i="3"/>
  <c r="D92" i="4"/>
  <c r="N92" i="4" s="1"/>
  <c r="H92" i="11" l="1"/>
  <c r="G92" i="11"/>
  <c r="F92" i="11"/>
  <c r="D92" i="11"/>
  <c r="E92" i="11"/>
  <c r="A99" i="3"/>
  <c r="X98" i="3"/>
  <c r="A93" i="11"/>
  <c r="O92" i="4"/>
  <c r="F92" i="4"/>
  <c r="I92" i="4"/>
  <c r="K92" i="4"/>
  <c r="G92" i="4"/>
  <c r="J92" i="4"/>
  <c r="H92" i="4"/>
  <c r="L92" i="4"/>
  <c r="E92" i="4"/>
  <c r="B93" i="3"/>
  <c r="D93" i="4"/>
  <c r="N93" i="4" s="1"/>
  <c r="H91" i="3"/>
  <c r="I91" i="3"/>
  <c r="H93" i="11" l="1"/>
  <c r="G93" i="11"/>
  <c r="F93" i="11"/>
  <c r="E93" i="11"/>
  <c r="D93" i="11"/>
  <c r="A100" i="3"/>
  <c r="X99" i="3"/>
  <c r="A94" i="11"/>
  <c r="G93" i="4"/>
  <c r="K93" i="4"/>
  <c r="E93" i="4"/>
  <c r="O93" i="4"/>
  <c r="I93" i="4"/>
  <c r="F93" i="4"/>
  <c r="L93" i="4"/>
  <c r="J93" i="4"/>
  <c r="H93" i="4"/>
  <c r="I92" i="3"/>
  <c r="H92" i="3"/>
  <c r="B94" i="3"/>
  <c r="D94" i="4"/>
  <c r="N94" i="4" s="1"/>
  <c r="H94" i="11" l="1"/>
  <c r="G94" i="11"/>
  <c r="F94" i="11"/>
  <c r="E94" i="11"/>
  <c r="D94" i="11"/>
  <c r="A101" i="3"/>
  <c r="X100" i="3"/>
  <c r="A95" i="11"/>
  <c r="H94" i="4"/>
  <c r="O94" i="4"/>
  <c r="I94" i="4"/>
  <c r="G94" i="4"/>
  <c r="F94" i="4"/>
  <c r="K94" i="4"/>
  <c r="L94" i="4"/>
  <c r="J94" i="4"/>
  <c r="E94" i="4"/>
  <c r="B95" i="3"/>
  <c r="D95" i="4"/>
  <c r="N95" i="4" s="1"/>
  <c r="I93" i="3"/>
  <c r="H93" i="3"/>
  <c r="H95" i="11" l="1"/>
  <c r="G95" i="11"/>
  <c r="F95" i="11"/>
  <c r="E95" i="11"/>
  <c r="D95" i="11"/>
  <c r="A102" i="3"/>
  <c r="X101" i="3"/>
  <c r="A96" i="11"/>
  <c r="I95" i="4"/>
  <c r="H95" i="4"/>
  <c r="K95" i="4"/>
  <c r="G95" i="4"/>
  <c r="O95" i="4"/>
  <c r="J95" i="4"/>
  <c r="E95" i="4"/>
  <c r="L95" i="4"/>
  <c r="F95" i="4"/>
  <c r="I94" i="3"/>
  <c r="H94" i="3"/>
  <c r="B96" i="3"/>
  <c r="D96" i="4"/>
  <c r="N96" i="4" s="1"/>
  <c r="F96" i="11" l="1"/>
  <c r="E96" i="11"/>
  <c r="D96" i="11"/>
  <c r="H96" i="11"/>
  <c r="G96" i="11"/>
  <c r="A103" i="3"/>
  <c r="X102" i="3"/>
  <c r="A97" i="11"/>
  <c r="I95" i="3"/>
  <c r="H95" i="3"/>
  <c r="B97" i="3"/>
  <c r="D97" i="4"/>
  <c r="N97" i="4" s="1"/>
  <c r="K96" i="4"/>
  <c r="E96" i="4"/>
  <c r="F96" i="4"/>
  <c r="L96" i="4"/>
  <c r="J96" i="4"/>
  <c r="G96" i="4"/>
  <c r="H96" i="4"/>
  <c r="O96" i="4"/>
  <c r="I96" i="4"/>
  <c r="G97" i="11" l="1"/>
  <c r="F97" i="11"/>
  <c r="E97" i="11"/>
  <c r="D97" i="11"/>
  <c r="H97" i="11"/>
  <c r="A104" i="3"/>
  <c r="X103" i="3"/>
  <c r="A98" i="11"/>
  <c r="J97" i="4"/>
  <c r="E97" i="4"/>
  <c r="F97" i="4"/>
  <c r="O97" i="4"/>
  <c r="H97" i="4"/>
  <c r="G97" i="4"/>
  <c r="I97" i="4"/>
  <c r="L97" i="4"/>
  <c r="K97" i="4"/>
  <c r="B98" i="3"/>
  <c r="D98" i="4"/>
  <c r="N98" i="4" s="1"/>
  <c r="I96" i="3"/>
  <c r="H96" i="3"/>
  <c r="H98" i="11" l="1"/>
  <c r="G98" i="11"/>
  <c r="F98" i="11"/>
  <c r="E98" i="11"/>
  <c r="D98" i="11"/>
  <c r="A105" i="3"/>
  <c r="X104" i="3"/>
  <c r="A99" i="11"/>
  <c r="H98" i="4"/>
  <c r="E98" i="4"/>
  <c r="O98" i="4"/>
  <c r="G98" i="4"/>
  <c r="I98" i="4"/>
  <c r="K98" i="4"/>
  <c r="F98" i="4"/>
  <c r="J98" i="4"/>
  <c r="L98" i="4"/>
  <c r="B99" i="3"/>
  <c r="D99" i="4"/>
  <c r="N99" i="4" s="1"/>
  <c r="I97" i="3"/>
  <c r="H97" i="3"/>
  <c r="H99" i="11" l="1"/>
  <c r="G99" i="11"/>
  <c r="F99" i="11"/>
  <c r="D99" i="11"/>
  <c r="E99" i="11"/>
  <c r="A106" i="3"/>
  <c r="X105" i="3"/>
  <c r="A100" i="11"/>
  <c r="E99" i="4"/>
  <c r="F99" i="4"/>
  <c r="G99" i="4"/>
  <c r="J99" i="4"/>
  <c r="O99" i="4"/>
  <c r="H99" i="4"/>
  <c r="I99" i="4"/>
  <c r="K99" i="4"/>
  <c r="L99" i="4"/>
  <c r="B100" i="3"/>
  <c r="D100" i="4"/>
  <c r="N100" i="4" s="1"/>
  <c r="H98" i="3"/>
  <c r="I98" i="3"/>
  <c r="H100" i="11" l="1"/>
  <c r="G100" i="11"/>
  <c r="F100" i="11"/>
  <c r="E100" i="11"/>
  <c r="D100" i="11"/>
  <c r="A107" i="3"/>
  <c r="X106" i="3"/>
  <c r="A101" i="11"/>
  <c r="B101" i="3"/>
  <c r="D101" i="4"/>
  <c r="N101" i="4" s="1"/>
  <c r="I100" i="4"/>
  <c r="H100" i="4"/>
  <c r="L100" i="4"/>
  <c r="F100" i="4"/>
  <c r="O100" i="4"/>
  <c r="J100" i="4"/>
  <c r="E100" i="4"/>
  <c r="K100" i="4"/>
  <c r="G100" i="4"/>
  <c r="I99" i="3"/>
  <c r="H99" i="3"/>
  <c r="H101" i="11" l="1"/>
  <c r="G101" i="11"/>
  <c r="F101" i="11"/>
  <c r="E101" i="11"/>
  <c r="D101" i="11"/>
  <c r="A108" i="3"/>
  <c r="X107" i="3"/>
  <c r="A102" i="11"/>
  <c r="I100" i="3"/>
  <c r="H100" i="3"/>
  <c r="O101" i="4"/>
  <c r="K101" i="4"/>
  <c r="H101" i="4"/>
  <c r="J101" i="4"/>
  <c r="F101" i="4"/>
  <c r="I101" i="4"/>
  <c r="G101" i="4"/>
  <c r="L101" i="4"/>
  <c r="E101" i="4"/>
  <c r="B102" i="3"/>
  <c r="D102" i="4"/>
  <c r="N102" i="4" s="1"/>
  <c r="A109" i="3" l="1"/>
  <c r="X108" i="3"/>
  <c r="H102" i="11"/>
  <c r="G102" i="11"/>
  <c r="F102" i="11"/>
  <c r="E102" i="11"/>
  <c r="D102" i="11"/>
  <c r="A103" i="11"/>
  <c r="H101" i="3"/>
  <c r="I101" i="3"/>
  <c r="B103" i="3"/>
  <c r="D103" i="4"/>
  <c r="N103" i="4" s="1"/>
  <c r="K102" i="4"/>
  <c r="O102" i="4"/>
  <c r="G102" i="4"/>
  <c r="E102" i="4"/>
  <c r="J102" i="4"/>
  <c r="I102" i="4"/>
  <c r="F102" i="4"/>
  <c r="L102" i="4"/>
  <c r="H102" i="4"/>
  <c r="H103" i="11" l="1"/>
  <c r="G103" i="11"/>
  <c r="F103" i="11"/>
  <c r="E103" i="11"/>
  <c r="D103" i="11"/>
  <c r="A110" i="3"/>
  <c r="X109" i="3"/>
  <c r="A104" i="11"/>
  <c r="I102" i="3"/>
  <c r="H102" i="3"/>
  <c r="B104" i="3"/>
  <c r="D104" i="4"/>
  <c r="N104" i="4" s="1"/>
  <c r="L103" i="4"/>
  <c r="J103" i="4"/>
  <c r="F103" i="4"/>
  <c r="H103" i="4"/>
  <c r="O103" i="4"/>
  <c r="G103" i="4"/>
  <c r="I103" i="4"/>
  <c r="K103" i="4"/>
  <c r="E103" i="4"/>
  <c r="G104" i="11" l="1"/>
  <c r="F104" i="11"/>
  <c r="E104" i="11"/>
  <c r="D104" i="11"/>
  <c r="H104" i="11"/>
  <c r="A111" i="3"/>
  <c r="X110" i="3"/>
  <c r="A105" i="11"/>
  <c r="I104" i="4"/>
  <c r="H104" i="4"/>
  <c r="E104" i="4"/>
  <c r="F104" i="4"/>
  <c r="O104" i="4"/>
  <c r="K104" i="4"/>
  <c r="G104" i="4"/>
  <c r="J104" i="4"/>
  <c r="L104" i="4"/>
  <c r="B105" i="3"/>
  <c r="D105" i="4"/>
  <c r="N105" i="4" s="1"/>
  <c r="H103" i="3"/>
  <c r="I103" i="3"/>
  <c r="H105" i="11" l="1"/>
  <c r="G105" i="11"/>
  <c r="F105" i="11"/>
  <c r="E105" i="11"/>
  <c r="D105" i="11"/>
  <c r="A112" i="3"/>
  <c r="X111" i="3"/>
  <c r="A106" i="11"/>
  <c r="H104" i="3"/>
  <c r="I104" i="3"/>
  <c r="B106" i="3"/>
  <c r="D106" i="4"/>
  <c r="N106" i="4" s="1"/>
  <c r="G105" i="4"/>
  <c r="O105" i="4"/>
  <c r="E105" i="4"/>
  <c r="L105" i="4"/>
  <c r="H105" i="4"/>
  <c r="F105" i="4"/>
  <c r="I105" i="4"/>
  <c r="J105" i="4"/>
  <c r="K105" i="4"/>
  <c r="H106" i="11" l="1"/>
  <c r="G106" i="11"/>
  <c r="F106" i="11"/>
  <c r="E106" i="11"/>
  <c r="D106" i="11"/>
  <c r="A113" i="3"/>
  <c r="X112" i="3"/>
  <c r="A107" i="11"/>
  <c r="L106" i="4"/>
  <c r="E106" i="4"/>
  <c r="J106" i="4"/>
  <c r="O106" i="4"/>
  <c r="F106" i="4"/>
  <c r="H106" i="4"/>
  <c r="I106" i="4"/>
  <c r="G106" i="4"/>
  <c r="K106" i="4"/>
  <c r="I105" i="3"/>
  <c r="H105" i="3"/>
  <c r="B107" i="3"/>
  <c r="D107" i="4"/>
  <c r="N107" i="4" s="1"/>
  <c r="H107" i="11" l="1"/>
  <c r="G107" i="11"/>
  <c r="F107" i="11"/>
  <c r="E107" i="11"/>
  <c r="D107" i="11"/>
  <c r="A114" i="3"/>
  <c r="X113" i="3"/>
  <c r="A108" i="11"/>
  <c r="B108" i="3"/>
  <c r="D108" i="4"/>
  <c r="N108" i="4" s="1"/>
  <c r="O107" i="4"/>
  <c r="H107" i="4"/>
  <c r="K107" i="4"/>
  <c r="G107" i="4"/>
  <c r="I107" i="4"/>
  <c r="J107" i="4"/>
  <c r="L107" i="4"/>
  <c r="E107" i="4"/>
  <c r="F107" i="4"/>
  <c r="H106" i="3"/>
  <c r="I106" i="3"/>
  <c r="H108" i="11" l="1"/>
  <c r="G108" i="11"/>
  <c r="F108" i="11"/>
  <c r="E108" i="11"/>
  <c r="D108" i="11"/>
  <c r="A115" i="3"/>
  <c r="X114" i="3"/>
  <c r="A109" i="11"/>
  <c r="B109" i="3"/>
  <c r="D109" i="4"/>
  <c r="N109" i="4" s="1"/>
  <c r="I107" i="3"/>
  <c r="H107" i="3"/>
  <c r="I108" i="4"/>
  <c r="G108" i="4"/>
  <c r="L108" i="4"/>
  <c r="K108" i="4"/>
  <c r="H108" i="4"/>
  <c r="J108" i="4"/>
  <c r="E108" i="4"/>
  <c r="O108" i="4"/>
  <c r="F108" i="4"/>
  <c r="H109" i="11" l="1"/>
  <c r="G109" i="11"/>
  <c r="F109" i="11"/>
  <c r="E109" i="11"/>
  <c r="D109" i="11"/>
  <c r="A116" i="3"/>
  <c r="X115" i="3"/>
  <c r="A110" i="11"/>
  <c r="I108" i="3"/>
  <c r="H108" i="3"/>
  <c r="B110" i="3"/>
  <c r="D110" i="4"/>
  <c r="N110" i="4" s="1"/>
  <c r="L109" i="4"/>
  <c r="E109" i="4"/>
  <c r="J109" i="4"/>
  <c r="F109" i="4"/>
  <c r="K109" i="4"/>
  <c r="I109" i="4"/>
  <c r="G109" i="4"/>
  <c r="O109" i="4"/>
  <c r="H109" i="4"/>
  <c r="H110" i="11" l="1"/>
  <c r="G110" i="11"/>
  <c r="F110" i="11"/>
  <c r="E110" i="11"/>
  <c r="D110" i="11"/>
  <c r="A117" i="3"/>
  <c r="X116" i="3"/>
  <c r="A111" i="11"/>
  <c r="I109" i="3"/>
  <c r="H109" i="3"/>
  <c r="B111" i="3"/>
  <c r="D111" i="4"/>
  <c r="N111" i="4" s="1"/>
  <c r="J110" i="4"/>
  <c r="L110" i="4"/>
  <c r="H110" i="4"/>
  <c r="E110" i="4"/>
  <c r="F110" i="4"/>
  <c r="I110" i="4"/>
  <c r="O110" i="4"/>
  <c r="K110" i="4"/>
  <c r="G110" i="4"/>
  <c r="H111" i="11" l="1"/>
  <c r="G111" i="11"/>
  <c r="F111" i="11"/>
  <c r="E111" i="11"/>
  <c r="D111" i="11"/>
  <c r="A118" i="3"/>
  <c r="X117" i="3"/>
  <c r="A112" i="11"/>
  <c r="L111" i="4"/>
  <c r="E111" i="4"/>
  <c r="F111" i="4"/>
  <c r="I111" i="4"/>
  <c r="H111" i="4"/>
  <c r="O111" i="4"/>
  <c r="K111" i="4"/>
  <c r="G111" i="4"/>
  <c r="J111" i="4"/>
  <c r="I110" i="3"/>
  <c r="H110" i="3"/>
  <c r="B112" i="3"/>
  <c r="D112" i="4"/>
  <c r="N112" i="4" s="1"/>
  <c r="H112" i="11" l="1"/>
  <c r="G112" i="11"/>
  <c r="E112" i="11"/>
  <c r="D112" i="11"/>
  <c r="F112" i="11"/>
  <c r="A119" i="3"/>
  <c r="X118" i="3"/>
  <c r="A113" i="11"/>
  <c r="J112" i="4"/>
  <c r="E112" i="4"/>
  <c r="I112" i="4"/>
  <c r="L112" i="4"/>
  <c r="O112" i="4"/>
  <c r="K112" i="4"/>
  <c r="F112" i="4"/>
  <c r="H112" i="4"/>
  <c r="G112" i="4"/>
  <c r="B113" i="3"/>
  <c r="D113" i="4"/>
  <c r="N113" i="4" s="1"/>
  <c r="I111" i="3"/>
  <c r="H111" i="3"/>
  <c r="A120" i="3" l="1"/>
  <c r="X119" i="3"/>
  <c r="H113" i="11"/>
  <c r="G113" i="11"/>
  <c r="E113" i="11"/>
  <c r="D113" i="11"/>
  <c r="F113" i="11"/>
  <c r="A114" i="11"/>
  <c r="E113" i="4"/>
  <c r="G113" i="4"/>
  <c r="O113" i="4"/>
  <c r="K113" i="4"/>
  <c r="H113" i="4"/>
  <c r="F113" i="4"/>
  <c r="I113" i="4"/>
  <c r="J113" i="4"/>
  <c r="L113" i="4"/>
  <c r="B114" i="3"/>
  <c r="D114" i="4"/>
  <c r="N114" i="4" s="1"/>
  <c r="H112" i="3"/>
  <c r="I112" i="3"/>
  <c r="A121" i="3" l="1"/>
  <c r="X120" i="3"/>
  <c r="H114" i="11"/>
  <c r="G114" i="11"/>
  <c r="F114" i="11"/>
  <c r="E114" i="11"/>
  <c r="D114" i="11"/>
  <c r="A115" i="11"/>
  <c r="B115" i="3"/>
  <c r="D115" i="4"/>
  <c r="N115" i="4" s="1"/>
  <c r="I113" i="3"/>
  <c r="H113" i="3"/>
  <c r="J114" i="4"/>
  <c r="L114" i="4"/>
  <c r="O114" i="4"/>
  <c r="H114" i="4"/>
  <c r="K114" i="4"/>
  <c r="F114" i="4"/>
  <c r="G114" i="4"/>
  <c r="I114" i="4"/>
  <c r="E114" i="4"/>
  <c r="H115" i="11" l="1"/>
  <c r="G115" i="11"/>
  <c r="F115" i="11"/>
  <c r="E115" i="11"/>
  <c r="D115" i="11"/>
  <c r="A122" i="3"/>
  <c r="X121" i="3"/>
  <c r="A116" i="11"/>
  <c r="B116" i="3"/>
  <c r="D116" i="4"/>
  <c r="N116" i="4" s="1"/>
  <c r="H114" i="3"/>
  <c r="I114" i="3"/>
  <c r="K115" i="4"/>
  <c r="F115" i="4"/>
  <c r="O115" i="4"/>
  <c r="G115" i="4"/>
  <c r="I115" i="4"/>
  <c r="L115" i="4"/>
  <c r="E115" i="4"/>
  <c r="H115" i="4"/>
  <c r="J115" i="4"/>
  <c r="H116" i="11" l="1"/>
  <c r="G116" i="11"/>
  <c r="F116" i="11"/>
  <c r="E116" i="11"/>
  <c r="D116" i="11"/>
  <c r="A123" i="3"/>
  <c r="X122" i="3"/>
  <c r="A117" i="11"/>
  <c r="H115" i="3"/>
  <c r="I115" i="3"/>
  <c r="B117" i="3"/>
  <c r="D117" i="4"/>
  <c r="N117" i="4" s="1"/>
  <c r="L116" i="4"/>
  <c r="F116" i="4"/>
  <c r="O116" i="4"/>
  <c r="H116" i="4"/>
  <c r="E116" i="4"/>
  <c r="I116" i="4"/>
  <c r="K116" i="4"/>
  <c r="G116" i="4"/>
  <c r="J116" i="4"/>
  <c r="H117" i="11" l="1"/>
  <c r="G117" i="11"/>
  <c r="F117" i="11"/>
  <c r="E117" i="11"/>
  <c r="D117" i="11"/>
  <c r="A124" i="3"/>
  <c r="X123" i="3"/>
  <c r="A118" i="11"/>
  <c r="L117" i="4"/>
  <c r="F117" i="4"/>
  <c r="J117" i="4"/>
  <c r="O117" i="4"/>
  <c r="H117" i="4"/>
  <c r="I117" i="4"/>
  <c r="G117" i="4"/>
  <c r="K117" i="4"/>
  <c r="E117" i="4"/>
  <c r="B118" i="3"/>
  <c r="D118" i="4"/>
  <c r="N118" i="4" s="1"/>
  <c r="H116" i="3"/>
  <c r="I116" i="3"/>
  <c r="H118" i="11" l="1"/>
  <c r="G118" i="11"/>
  <c r="F118" i="11"/>
  <c r="E118" i="11"/>
  <c r="D118" i="11"/>
  <c r="A125" i="3"/>
  <c r="X124" i="3"/>
  <c r="A119" i="11"/>
  <c r="H117" i="3"/>
  <c r="I117" i="3"/>
  <c r="B119" i="3"/>
  <c r="D119" i="4"/>
  <c r="N119" i="4" s="1"/>
  <c r="I118" i="4"/>
  <c r="H118" i="4"/>
  <c r="L118" i="4"/>
  <c r="K118" i="4"/>
  <c r="G118" i="4"/>
  <c r="F118" i="4"/>
  <c r="J118" i="4"/>
  <c r="E118" i="4"/>
  <c r="O118" i="4"/>
  <c r="H119" i="11" l="1"/>
  <c r="G119" i="11"/>
  <c r="F119" i="11"/>
  <c r="E119" i="11"/>
  <c r="D119" i="11"/>
  <c r="A126" i="3"/>
  <c r="X125" i="3"/>
  <c r="A120" i="11"/>
  <c r="H118" i="3"/>
  <c r="I118" i="3"/>
  <c r="B120" i="3"/>
  <c r="D120" i="4"/>
  <c r="N120" i="4" s="1"/>
  <c r="F119" i="4"/>
  <c r="O119" i="4"/>
  <c r="I119" i="4"/>
  <c r="L119" i="4"/>
  <c r="E119" i="4"/>
  <c r="H119" i="4"/>
  <c r="K119" i="4"/>
  <c r="J119" i="4"/>
  <c r="G119" i="4"/>
  <c r="H120" i="11" l="1"/>
  <c r="E120" i="11"/>
  <c r="D120" i="11"/>
  <c r="G120" i="11"/>
  <c r="F120" i="11"/>
  <c r="A127" i="3"/>
  <c r="X126" i="3"/>
  <c r="A121" i="11"/>
  <c r="H120" i="4"/>
  <c r="E120" i="4"/>
  <c r="J120" i="4"/>
  <c r="L120" i="4"/>
  <c r="O120" i="4"/>
  <c r="G120" i="4"/>
  <c r="I120" i="4"/>
  <c r="F120" i="4"/>
  <c r="K120" i="4"/>
  <c r="H119" i="3"/>
  <c r="I119" i="3"/>
  <c r="B121" i="3"/>
  <c r="D121" i="4"/>
  <c r="N121" i="4" s="1"/>
  <c r="F121" i="11" l="1"/>
  <c r="H121" i="11"/>
  <c r="E121" i="11"/>
  <c r="D121" i="11"/>
  <c r="G121" i="11"/>
  <c r="A128" i="3"/>
  <c r="X127" i="3"/>
  <c r="A122" i="11"/>
  <c r="B122" i="3"/>
  <c r="D122" i="4"/>
  <c r="N122" i="4" s="1"/>
  <c r="H120" i="3"/>
  <c r="I120" i="3"/>
  <c r="J121" i="4"/>
  <c r="G121" i="4"/>
  <c r="E121" i="4"/>
  <c r="K121" i="4"/>
  <c r="O121" i="4"/>
  <c r="F121" i="4"/>
  <c r="L121" i="4"/>
  <c r="H121" i="4"/>
  <c r="I121" i="4"/>
  <c r="H122" i="11" l="1"/>
  <c r="G122" i="11"/>
  <c r="F122" i="11"/>
  <c r="E122" i="11"/>
  <c r="D122" i="11"/>
  <c r="A129" i="3"/>
  <c r="X128" i="3"/>
  <c r="A123" i="11"/>
  <c r="J122" i="4"/>
  <c r="F122" i="4"/>
  <c r="K122" i="4"/>
  <c r="E122" i="4"/>
  <c r="O122" i="4"/>
  <c r="H122" i="4"/>
  <c r="L122" i="4"/>
  <c r="G122" i="4"/>
  <c r="I122" i="4"/>
  <c r="I121" i="3"/>
  <c r="H121" i="3"/>
  <c r="B123" i="3"/>
  <c r="D123" i="4"/>
  <c r="N123" i="4" s="1"/>
  <c r="A130" i="3" l="1"/>
  <c r="X129" i="3"/>
  <c r="H123" i="11"/>
  <c r="G123" i="11"/>
  <c r="F123" i="11"/>
  <c r="E123" i="11"/>
  <c r="D123" i="11"/>
  <c r="A124" i="11"/>
  <c r="B124" i="3"/>
  <c r="D124" i="4"/>
  <c r="N124" i="4" s="1"/>
  <c r="H122" i="3"/>
  <c r="I122" i="3"/>
  <c r="H123" i="4"/>
  <c r="L123" i="4"/>
  <c r="O123" i="4"/>
  <c r="I123" i="4"/>
  <c r="G123" i="4"/>
  <c r="E123" i="4"/>
  <c r="J123" i="4"/>
  <c r="K123" i="4"/>
  <c r="F123" i="4"/>
  <c r="H124" i="11" l="1"/>
  <c r="G124" i="11"/>
  <c r="F124" i="11"/>
  <c r="E124" i="11"/>
  <c r="D124" i="11"/>
  <c r="A131" i="3"/>
  <c r="X130" i="3"/>
  <c r="A125" i="11"/>
  <c r="H124" i="4"/>
  <c r="J124" i="4"/>
  <c r="F124" i="4"/>
  <c r="G124" i="4"/>
  <c r="O124" i="4"/>
  <c r="E124" i="4"/>
  <c r="K124" i="4"/>
  <c r="I124" i="4"/>
  <c r="L124" i="4"/>
  <c r="I123" i="3"/>
  <c r="H123" i="3"/>
  <c r="B125" i="3"/>
  <c r="D125" i="4"/>
  <c r="N125" i="4" s="1"/>
  <c r="H125" i="11" l="1"/>
  <c r="G125" i="11"/>
  <c r="F125" i="11"/>
  <c r="E125" i="11"/>
  <c r="D125" i="11"/>
  <c r="A132" i="3"/>
  <c r="X131" i="3"/>
  <c r="A126" i="11"/>
  <c r="O125" i="4"/>
  <c r="H125" i="4"/>
  <c r="K125" i="4"/>
  <c r="G125" i="4"/>
  <c r="I125" i="4"/>
  <c r="L125" i="4"/>
  <c r="E125" i="4"/>
  <c r="F125" i="4"/>
  <c r="J125" i="4"/>
  <c r="B126" i="3"/>
  <c r="D126" i="4"/>
  <c r="N126" i="4" s="1"/>
  <c r="H124" i="3"/>
  <c r="I124" i="3"/>
  <c r="H126" i="11" l="1"/>
  <c r="G126" i="11"/>
  <c r="F126" i="11"/>
  <c r="E126" i="11"/>
  <c r="D126" i="11"/>
  <c r="A133" i="3"/>
  <c r="X132" i="3"/>
  <c r="A127" i="11"/>
  <c r="O126" i="4"/>
  <c r="G126" i="4"/>
  <c r="E126" i="4"/>
  <c r="L126" i="4"/>
  <c r="F126" i="4"/>
  <c r="K126" i="4"/>
  <c r="H126" i="4"/>
  <c r="J126" i="4"/>
  <c r="I126" i="4"/>
  <c r="I125" i="3"/>
  <c r="H125" i="3"/>
  <c r="B127" i="3"/>
  <c r="D127" i="4"/>
  <c r="N127" i="4" s="1"/>
  <c r="H127" i="11" l="1"/>
  <c r="G127" i="11"/>
  <c r="F127" i="11"/>
  <c r="E127" i="11"/>
  <c r="D127" i="11"/>
  <c r="A134" i="3"/>
  <c r="X133" i="3"/>
  <c r="A128" i="11"/>
  <c r="B128" i="3"/>
  <c r="D128" i="4"/>
  <c r="N128" i="4" s="1"/>
  <c r="H126" i="3"/>
  <c r="I126" i="3"/>
  <c r="F127" i="4"/>
  <c r="O127" i="4"/>
  <c r="H127" i="4"/>
  <c r="G127" i="4"/>
  <c r="I127" i="4"/>
  <c r="L127" i="4"/>
  <c r="K127" i="4"/>
  <c r="J127" i="4"/>
  <c r="E127" i="4"/>
  <c r="A135" i="3" l="1"/>
  <c r="X134" i="3"/>
  <c r="F128" i="11"/>
  <c r="E128" i="11"/>
  <c r="D128" i="11"/>
  <c r="H128" i="11"/>
  <c r="G128" i="11"/>
  <c r="A129" i="11"/>
  <c r="J128" i="4"/>
  <c r="O128" i="4"/>
  <c r="H128" i="4"/>
  <c r="G128" i="4"/>
  <c r="E128" i="4"/>
  <c r="L128" i="4"/>
  <c r="K128" i="4"/>
  <c r="I128" i="4"/>
  <c r="F128" i="4"/>
  <c r="I127" i="3"/>
  <c r="H127" i="3"/>
  <c r="B129" i="3"/>
  <c r="D129" i="4"/>
  <c r="N129" i="4" s="1"/>
  <c r="G129" i="11" l="1"/>
  <c r="F129" i="11"/>
  <c r="E129" i="11"/>
  <c r="D129" i="11"/>
  <c r="H129" i="11"/>
  <c r="A136" i="3"/>
  <c r="X135" i="3"/>
  <c r="A130" i="11"/>
  <c r="B130" i="3"/>
  <c r="D130" i="4"/>
  <c r="N130" i="4" s="1"/>
  <c r="H129" i="4"/>
  <c r="E129" i="4"/>
  <c r="O129" i="4"/>
  <c r="G129" i="4"/>
  <c r="F129" i="4"/>
  <c r="K129" i="4"/>
  <c r="L129" i="4"/>
  <c r="J129" i="4"/>
  <c r="I129" i="4"/>
  <c r="I128" i="3"/>
  <c r="H128" i="3"/>
  <c r="H130" i="11" l="1"/>
  <c r="G130" i="11"/>
  <c r="F130" i="11"/>
  <c r="E130" i="11"/>
  <c r="D130" i="11"/>
  <c r="A137" i="3"/>
  <c r="X136" i="3"/>
  <c r="A131" i="11"/>
  <c r="J130" i="4"/>
  <c r="F130" i="4"/>
  <c r="O130" i="4"/>
  <c r="I130" i="4"/>
  <c r="E130" i="4"/>
  <c r="G130" i="4"/>
  <c r="K130" i="4"/>
  <c r="H130" i="4"/>
  <c r="L130" i="4"/>
  <c r="B131" i="3"/>
  <c r="D131" i="4"/>
  <c r="N131" i="4" s="1"/>
  <c r="I129" i="3"/>
  <c r="H129" i="3"/>
  <c r="H131" i="11" l="1"/>
  <c r="G131" i="11"/>
  <c r="F131" i="11"/>
  <c r="D131" i="11"/>
  <c r="E131" i="11"/>
  <c r="A138" i="3"/>
  <c r="X137" i="3"/>
  <c r="A132" i="11"/>
  <c r="B132" i="3"/>
  <c r="D132" i="4"/>
  <c r="N132" i="4" s="1"/>
  <c r="H130" i="3"/>
  <c r="I130" i="3"/>
  <c r="O131" i="4"/>
  <c r="H131" i="4"/>
  <c r="G131" i="4"/>
  <c r="E131" i="4"/>
  <c r="K131" i="4"/>
  <c r="I131" i="4"/>
  <c r="L131" i="4"/>
  <c r="J131" i="4"/>
  <c r="F131" i="4"/>
  <c r="A139" i="3" l="1"/>
  <c r="X138" i="3"/>
  <c r="H132" i="11"/>
  <c r="G132" i="11"/>
  <c r="F132" i="11"/>
  <c r="D132" i="11"/>
  <c r="E132" i="11"/>
  <c r="A133" i="11"/>
  <c r="B133" i="3"/>
  <c r="D133" i="4"/>
  <c r="N133" i="4" s="1"/>
  <c r="O132" i="4"/>
  <c r="H132" i="4"/>
  <c r="G132" i="4"/>
  <c r="I132" i="4"/>
  <c r="F132" i="4"/>
  <c r="L132" i="4"/>
  <c r="K132" i="4"/>
  <c r="J132" i="4"/>
  <c r="E132" i="4"/>
  <c r="I131" i="3"/>
  <c r="H131" i="3"/>
  <c r="H133" i="11" l="1"/>
  <c r="G133" i="11"/>
  <c r="F133" i="11"/>
  <c r="E133" i="11"/>
  <c r="D133" i="11"/>
  <c r="A140" i="3"/>
  <c r="X139" i="3"/>
  <c r="A134" i="11"/>
  <c r="B134" i="3"/>
  <c r="D134" i="4"/>
  <c r="N134" i="4" s="1"/>
  <c r="L133" i="4"/>
  <c r="F133" i="4"/>
  <c r="K133" i="4"/>
  <c r="E133" i="4"/>
  <c r="O133" i="4"/>
  <c r="H133" i="4"/>
  <c r="G133" i="4"/>
  <c r="J133" i="4"/>
  <c r="I133" i="4"/>
  <c r="I132" i="3"/>
  <c r="H132" i="3"/>
  <c r="H134" i="11" l="1"/>
  <c r="G134" i="11"/>
  <c r="F134" i="11"/>
  <c r="E134" i="11"/>
  <c r="D134" i="11"/>
  <c r="A141" i="3"/>
  <c r="X140" i="3"/>
  <c r="A135" i="11"/>
  <c r="O134" i="4"/>
  <c r="H134" i="4"/>
  <c r="L134" i="4"/>
  <c r="E134" i="4"/>
  <c r="G134" i="4"/>
  <c r="K134" i="4"/>
  <c r="I134" i="4"/>
  <c r="J134" i="4"/>
  <c r="F134" i="4"/>
  <c r="B135" i="3"/>
  <c r="D135" i="4"/>
  <c r="N135" i="4" s="1"/>
  <c r="H133" i="3"/>
  <c r="I133" i="3"/>
  <c r="H135" i="11" l="1"/>
  <c r="G135" i="11"/>
  <c r="F135" i="11"/>
  <c r="E135" i="11"/>
  <c r="D135" i="11"/>
  <c r="A142" i="3"/>
  <c r="X141" i="3"/>
  <c r="A136" i="11"/>
  <c r="H134" i="3"/>
  <c r="I134" i="3"/>
  <c r="B136" i="3"/>
  <c r="D136" i="4"/>
  <c r="N136" i="4" s="1"/>
  <c r="O135" i="4"/>
  <c r="L135" i="4"/>
  <c r="I135" i="4"/>
  <c r="K135" i="4"/>
  <c r="H135" i="4"/>
  <c r="E135" i="4"/>
  <c r="F135" i="4"/>
  <c r="G135" i="4"/>
  <c r="J135" i="4"/>
  <c r="A143" i="3" l="1"/>
  <c r="X142" i="3"/>
  <c r="G136" i="11"/>
  <c r="F136" i="11"/>
  <c r="E136" i="11"/>
  <c r="D136" i="11"/>
  <c r="H136" i="11"/>
  <c r="A137" i="11"/>
  <c r="H135" i="3"/>
  <c r="I135" i="3"/>
  <c r="B137" i="3"/>
  <c r="D137" i="4"/>
  <c r="N137" i="4" s="1"/>
  <c r="O136" i="4"/>
  <c r="H136" i="4"/>
  <c r="K136" i="4"/>
  <c r="G136" i="4"/>
  <c r="E136" i="4"/>
  <c r="F136" i="4"/>
  <c r="I136" i="4"/>
  <c r="J136" i="4"/>
  <c r="L136" i="4"/>
  <c r="H137" i="11" l="1"/>
  <c r="G137" i="11"/>
  <c r="F137" i="11"/>
  <c r="E137" i="11"/>
  <c r="D137" i="11"/>
  <c r="A144" i="3"/>
  <c r="X143" i="3"/>
  <c r="A138" i="11"/>
  <c r="B138" i="3"/>
  <c r="D138" i="4"/>
  <c r="N138" i="4" s="1"/>
  <c r="F137" i="4"/>
  <c r="O137" i="4"/>
  <c r="G137" i="4"/>
  <c r="I137" i="4"/>
  <c r="J137" i="4"/>
  <c r="K137" i="4"/>
  <c r="H137" i="4"/>
  <c r="L137" i="4"/>
  <c r="E137" i="4"/>
  <c r="H136" i="3"/>
  <c r="I136" i="3"/>
  <c r="H138" i="11" l="1"/>
  <c r="G138" i="11"/>
  <c r="F138" i="11"/>
  <c r="E138" i="11"/>
  <c r="D138" i="11"/>
  <c r="A145" i="3"/>
  <c r="X144" i="3"/>
  <c r="A139" i="11"/>
  <c r="I137" i="3"/>
  <c r="H137" i="3"/>
  <c r="L138" i="4"/>
  <c r="J138" i="4"/>
  <c r="H138" i="4"/>
  <c r="O138" i="4"/>
  <c r="K138" i="4"/>
  <c r="E138" i="4"/>
  <c r="G138" i="4"/>
  <c r="I138" i="4"/>
  <c r="F138" i="4"/>
  <c r="B139" i="3"/>
  <c r="D139" i="4"/>
  <c r="N139" i="4" s="1"/>
  <c r="H139" i="11" l="1"/>
  <c r="G139" i="11"/>
  <c r="F139" i="11"/>
  <c r="E139" i="11"/>
  <c r="D139" i="11"/>
  <c r="A146" i="3"/>
  <c r="X145" i="3"/>
  <c r="A140" i="11"/>
  <c r="H138" i="3"/>
  <c r="I138" i="3"/>
  <c r="L139" i="4"/>
  <c r="G139" i="4"/>
  <c r="J139" i="4"/>
  <c r="O139" i="4"/>
  <c r="E139" i="4"/>
  <c r="F139" i="4"/>
  <c r="K139" i="4"/>
  <c r="I139" i="4"/>
  <c r="H139" i="4"/>
  <c r="B140" i="3"/>
  <c r="D140" i="4"/>
  <c r="N140" i="4" s="1"/>
  <c r="A147" i="3" l="1"/>
  <c r="X146" i="3"/>
  <c r="H140" i="11"/>
  <c r="G140" i="11"/>
  <c r="F140" i="11"/>
  <c r="E140" i="11"/>
  <c r="D140" i="11"/>
  <c r="A141" i="11"/>
  <c r="B141" i="3"/>
  <c r="D141" i="4"/>
  <c r="N141" i="4" s="1"/>
  <c r="O140" i="4"/>
  <c r="H140" i="4"/>
  <c r="F140" i="4"/>
  <c r="G140" i="4"/>
  <c r="E140" i="4"/>
  <c r="L140" i="4"/>
  <c r="K140" i="4"/>
  <c r="I140" i="4"/>
  <c r="J140" i="4"/>
  <c r="I139" i="3"/>
  <c r="H139" i="3"/>
  <c r="H141" i="11" l="1"/>
  <c r="G141" i="11"/>
  <c r="F141" i="11"/>
  <c r="E141" i="11"/>
  <c r="D141" i="11"/>
  <c r="A148" i="3"/>
  <c r="X147" i="3"/>
  <c r="A142" i="11"/>
  <c r="B142" i="3"/>
  <c r="D142" i="4"/>
  <c r="N142" i="4" s="1"/>
  <c r="H140" i="3"/>
  <c r="I140" i="3"/>
  <c r="I141" i="4"/>
  <c r="J141" i="4"/>
  <c r="L141" i="4"/>
  <c r="H141" i="4"/>
  <c r="K141" i="4"/>
  <c r="G141" i="4"/>
  <c r="F141" i="4"/>
  <c r="E141" i="4"/>
  <c r="O141" i="4"/>
  <c r="H142" i="11" l="1"/>
  <c r="G142" i="11"/>
  <c r="F142" i="11"/>
  <c r="E142" i="11"/>
  <c r="D142" i="11"/>
  <c r="A149" i="3"/>
  <c r="X148" i="3"/>
  <c r="A143" i="11"/>
  <c r="B143" i="3"/>
  <c r="D143" i="4"/>
  <c r="N143" i="4" s="1"/>
  <c r="H141" i="3"/>
  <c r="I141" i="3"/>
  <c r="O142" i="4"/>
  <c r="J142" i="4"/>
  <c r="F142" i="4"/>
  <c r="I142" i="4"/>
  <c r="K142" i="4"/>
  <c r="H142" i="4"/>
  <c r="G142" i="4"/>
  <c r="L142" i="4"/>
  <c r="E142" i="4"/>
  <c r="H143" i="11" l="1"/>
  <c r="G143" i="11"/>
  <c r="F143" i="11"/>
  <c r="E143" i="11"/>
  <c r="D143" i="11"/>
  <c r="A150" i="3"/>
  <c r="X149" i="3"/>
  <c r="A144" i="11"/>
  <c r="B144" i="3"/>
  <c r="D144" i="4"/>
  <c r="N144" i="4" s="1"/>
  <c r="I142" i="3"/>
  <c r="H142" i="3"/>
  <c r="L143" i="4"/>
  <c r="G143" i="4"/>
  <c r="E143" i="4"/>
  <c r="H143" i="4"/>
  <c r="J143" i="4"/>
  <c r="F143" i="4"/>
  <c r="O143" i="4"/>
  <c r="K143" i="4"/>
  <c r="I143" i="4"/>
  <c r="H144" i="11" l="1"/>
  <c r="G144" i="11"/>
  <c r="E144" i="11"/>
  <c r="D144" i="11"/>
  <c r="F144" i="11"/>
  <c r="A151" i="3"/>
  <c r="X150" i="3"/>
  <c r="A145" i="11"/>
  <c r="F144" i="4"/>
  <c r="O144" i="4"/>
  <c r="K144" i="4"/>
  <c r="H144" i="4"/>
  <c r="L144" i="4"/>
  <c r="E144" i="4"/>
  <c r="G144" i="4"/>
  <c r="J144" i="4"/>
  <c r="I144" i="4"/>
  <c r="I143" i="3"/>
  <c r="H143" i="3"/>
  <c r="B145" i="3"/>
  <c r="D145" i="4"/>
  <c r="N145" i="4" s="1"/>
  <c r="H145" i="11" l="1"/>
  <c r="G145" i="11"/>
  <c r="E145" i="11"/>
  <c r="D145" i="11"/>
  <c r="F145" i="11"/>
  <c r="A152" i="3"/>
  <c r="X151" i="3"/>
  <c r="A146" i="11"/>
  <c r="H145" i="4"/>
  <c r="G145" i="4"/>
  <c r="I145" i="4"/>
  <c r="E145" i="4"/>
  <c r="L145" i="4"/>
  <c r="O145" i="4"/>
  <c r="F145" i="4"/>
  <c r="K145" i="4"/>
  <c r="J145" i="4"/>
  <c r="B146" i="3"/>
  <c r="D146" i="4"/>
  <c r="N146" i="4" s="1"/>
  <c r="I144" i="3"/>
  <c r="H144" i="3"/>
  <c r="H146" i="11" l="1"/>
  <c r="G146" i="11"/>
  <c r="F146" i="11"/>
  <c r="E146" i="11"/>
  <c r="D146" i="11"/>
  <c r="A153" i="3"/>
  <c r="X152" i="3"/>
  <c r="A147" i="11"/>
  <c r="B147" i="3"/>
  <c r="D147" i="4"/>
  <c r="N147" i="4" s="1"/>
  <c r="O146" i="4"/>
  <c r="H146" i="4"/>
  <c r="K146" i="4"/>
  <c r="J146" i="4"/>
  <c r="G146" i="4"/>
  <c r="I146" i="4"/>
  <c r="L146" i="4"/>
  <c r="F146" i="4"/>
  <c r="E146" i="4"/>
  <c r="I145" i="3"/>
  <c r="H145" i="3"/>
  <c r="H147" i="11" l="1"/>
  <c r="G147" i="11"/>
  <c r="F147" i="11"/>
  <c r="D147" i="11"/>
  <c r="E147" i="11"/>
  <c r="A154" i="3"/>
  <c r="X153" i="3"/>
  <c r="A148" i="11"/>
  <c r="I146" i="3"/>
  <c r="H146" i="3"/>
  <c r="O147" i="4"/>
  <c r="F147" i="4"/>
  <c r="E147" i="4"/>
  <c r="H147" i="4"/>
  <c r="G147" i="4"/>
  <c r="I147" i="4"/>
  <c r="J147" i="4"/>
  <c r="K147" i="4"/>
  <c r="L147" i="4"/>
  <c r="B148" i="3"/>
  <c r="D148" i="4"/>
  <c r="N148" i="4" s="1"/>
  <c r="H148" i="11" l="1"/>
  <c r="G148" i="11"/>
  <c r="F148" i="11"/>
  <c r="E148" i="11"/>
  <c r="D148" i="11"/>
  <c r="A155" i="3"/>
  <c r="X154" i="3"/>
  <c r="A149" i="11"/>
  <c r="H147" i="3"/>
  <c r="I147" i="3"/>
  <c r="B149" i="3"/>
  <c r="D149" i="4"/>
  <c r="N149" i="4" s="1"/>
  <c r="L148" i="4"/>
  <c r="J148" i="4"/>
  <c r="G148" i="4"/>
  <c r="F148" i="4"/>
  <c r="K148" i="4"/>
  <c r="E148" i="4"/>
  <c r="O148" i="4"/>
  <c r="H148" i="4"/>
  <c r="I148" i="4"/>
  <c r="H149" i="11" l="1"/>
  <c r="G149" i="11"/>
  <c r="F149" i="11"/>
  <c r="E149" i="11"/>
  <c r="D149" i="11"/>
  <c r="A156" i="3"/>
  <c r="X155" i="3"/>
  <c r="A150" i="11"/>
  <c r="E149" i="4"/>
  <c r="F149" i="4"/>
  <c r="H149" i="4"/>
  <c r="O149" i="4"/>
  <c r="I149" i="4"/>
  <c r="G149" i="4"/>
  <c r="J149" i="4"/>
  <c r="K149" i="4"/>
  <c r="L149" i="4"/>
  <c r="B150" i="3"/>
  <c r="D150" i="4"/>
  <c r="N150" i="4" s="1"/>
  <c r="I148" i="3"/>
  <c r="H148" i="3"/>
  <c r="H150" i="11" l="1"/>
  <c r="G150" i="11"/>
  <c r="F150" i="11"/>
  <c r="E150" i="11"/>
  <c r="D150" i="11"/>
  <c r="A157" i="3"/>
  <c r="X156" i="3"/>
  <c r="A151" i="11"/>
  <c r="H150" i="4"/>
  <c r="E150" i="4"/>
  <c r="O150" i="4"/>
  <c r="I150" i="4"/>
  <c r="G150" i="4"/>
  <c r="J150" i="4"/>
  <c r="K150" i="4"/>
  <c r="L150" i="4"/>
  <c r="F150" i="4"/>
  <c r="B151" i="3"/>
  <c r="D151" i="4"/>
  <c r="N151" i="4" s="1"/>
  <c r="H149" i="3"/>
  <c r="I149" i="3"/>
  <c r="H151" i="11" l="1"/>
  <c r="G151" i="11"/>
  <c r="F151" i="11"/>
  <c r="E151" i="11"/>
  <c r="D151" i="11"/>
  <c r="A158" i="3"/>
  <c r="X157" i="3"/>
  <c r="A152" i="11"/>
  <c r="F151" i="4"/>
  <c r="K151" i="4"/>
  <c r="G151" i="4"/>
  <c r="O151" i="4"/>
  <c r="E151" i="4"/>
  <c r="I151" i="4"/>
  <c r="H151" i="4"/>
  <c r="J151" i="4"/>
  <c r="L151" i="4"/>
  <c r="H150" i="3"/>
  <c r="I150" i="3"/>
  <c r="B152" i="3"/>
  <c r="D152" i="4"/>
  <c r="N152" i="4" s="1"/>
  <c r="H152" i="11" l="1"/>
  <c r="E152" i="11"/>
  <c r="D152" i="11"/>
  <c r="G152" i="11"/>
  <c r="F152" i="11"/>
  <c r="A159" i="3"/>
  <c r="X158" i="3"/>
  <c r="A153" i="11"/>
  <c r="O152" i="4"/>
  <c r="K152" i="4"/>
  <c r="I152" i="4"/>
  <c r="L152" i="4"/>
  <c r="J152" i="4"/>
  <c r="H152" i="4"/>
  <c r="G152" i="4"/>
  <c r="F152" i="4"/>
  <c r="E152" i="4"/>
  <c r="H151" i="3"/>
  <c r="I151" i="3"/>
  <c r="B153" i="3"/>
  <c r="D153" i="4"/>
  <c r="N153" i="4" s="1"/>
  <c r="F153" i="11" l="1"/>
  <c r="H153" i="11"/>
  <c r="E153" i="11"/>
  <c r="D153" i="11"/>
  <c r="G153" i="11"/>
  <c r="A160" i="3"/>
  <c r="X159" i="3"/>
  <c r="A154" i="11"/>
  <c r="G153" i="4"/>
  <c r="H153" i="4"/>
  <c r="I153" i="4"/>
  <c r="K153" i="4"/>
  <c r="O153" i="4"/>
  <c r="J153" i="4"/>
  <c r="E153" i="4"/>
  <c r="L153" i="4"/>
  <c r="F153" i="4"/>
  <c r="I152" i="3"/>
  <c r="H152" i="3"/>
  <c r="B154" i="3"/>
  <c r="D154" i="4"/>
  <c r="N154" i="4" s="1"/>
  <c r="A161" i="3" l="1"/>
  <c r="X160" i="3"/>
  <c r="H154" i="11"/>
  <c r="G154" i="11"/>
  <c r="F154" i="11"/>
  <c r="E154" i="11"/>
  <c r="D154" i="11"/>
  <c r="A155" i="11"/>
  <c r="B155" i="3"/>
  <c r="D155" i="4"/>
  <c r="N155" i="4" s="1"/>
  <c r="I153" i="3"/>
  <c r="H153" i="3"/>
  <c r="L154" i="4"/>
  <c r="O154" i="4"/>
  <c r="H154" i="4"/>
  <c r="K154" i="4"/>
  <c r="F154" i="4"/>
  <c r="G154" i="4"/>
  <c r="I154" i="4"/>
  <c r="E154" i="4"/>
  <c r="J154" i="4"/>
  <c r="H155" i="11" l="1"/>
  <c r="G155" i="11"/>
  <c r="F155" i="11"/>
  <c r="E155" i="11"/>
  <c r="D155" i="11"/>
  <c r="A162" i="3"/>
  <c r="X161" i="3"/>
  <c r="A156" i="11"/>
  <c r="B156" i="3"/>
  <c r="D156" i="4"/>
  <c r="N156" i="4" s="1"/>
  <c r="J155" i="4"/>
  <c r="L155" i="4"/>
  <c r="G155" i="4"/>
  <c r="E155" i="4"/>
  <c r="K155" i="4"/>
  <c r="O155" i="4"/>
  <c r="H155" i="4"/>
  <c r="F155" i="4"/>
  <c r="I155" i="4"/>
  <c r="H154" i="3"/>
  <c r="I154" i="3"/>
  <c r="H156" i="11" l="1"/>
  <c r="G156" i="11"/>
  <c r="F156" i="11"/>
  <c r="D156" i="11"/>
  <c r="E156" i="11"/>
  <c r="A163" i="3"/>
  <c r="X162" i="3"/>
  <c r="A157" i="11"/>
  <c r="J156" i="4"/>
  <c r="F156" i="4"/>
  <c r="K156" i="4"/>
  <c r="E156" i="4"/>
  <c r="O156" i="4"/>
  <c r="H156" i="4"/>
  <c r="G156" i="4"/>
  <c r="I156" i="4"/>
  <c r="L156" i="4"/>
  <c r="I155" i="3"/>
  <c r="H155" i="3"/>
  <c r="B157" i="3"/>
  <c r="D157" i="4"/>
  <c r="N157" i="4" s="1"/>
  <c r="H157" i="11" l="1"/>
  <c r="G157" i="11"/>
  <c r="F157" i="11"/>
  <c r="E157" i="11"/>
  <c r="D157" i="11"/>
  <c r="A164" i="3"/>
  <c r="X163" i="3"/>
  <c r="A158" i="11"/>
  <c r="H156" i="3"/>
  <c r="I156" i="3"/>
  <c r="O157" i="4"/>
  <c r="H157" i="4"/>
  <c r="G157" i="4"/>
  <c r="J157" i="4"/>
  <c r="E157" i="4"/>
  <c r="L157" i="4"/>
  <c r="F157" i="4"/>
  <c r="I157" i="4"/>
  <c r="K157" i="4"/>
  <c r="B158" i="3"/>
  <c r="D158" i="4"/>
  <c r="N158" i="4" s="1"/>
  <c r="H158" i="11" l="1"/>
  <c r="G158" i="11"/>
  <c r="F158" i="11"/>
  <c r="E158" i="11"/>
  <c r="D158" i="11"/>
  <c r="A165" i="3"/>
  <c r="X164" i="3"/>
  <c r="A159" i="11"/>
  <c r="B159" i="3"/>
  <c r="D159" i="4"/>
  <c r="N159" i="4" s="1"/>
  <c r="H157" i="3"/>
  <c r="I157" i="3"/>
  <c r="J158" i="4"/>
  <c r="L158" i="4"/>
  <c r="O158" i="4"/>
  <c r="G158" i="4"/>
  <c r="H158" i="4"/>
  <c r="E158" i="4"/>
  <c r="K158" i="4"/>
  <c r="I158" i="4"/>
  <c r="F158" i="4"/>
  <c r="A166" i="3" l="1"/>
  <c r="X165" i="3"/>
  <c r="H159" i="11"/>
  <c r="G159" i="11"/>
  <c r="F159" i="11"/>
  <c r="E159" i="11"/>
  <c r="D159" i="11"/>
  <c r="A160" i="11"/>
  <c r="O159" i="4"/>
  <c r="E159" i="4"/>
  <c r="F159" i="4"/>
  <c r="H159" i="4"/>
  <c r="G159" i="4"/>
  <c r="K159" i="4"/>
  <c r="L159" i="4"/>
  <c r="I159" i="4"/>
  <c r="J159" i="4"/>
  <c r="I158" i="3"/>
  <c r="H158" i="3"/>
  <c r="B160" i="3"/>
  <c r="D160" i="4"/>
  <c r="N160" i="4" s="1"/>
  <c r="F160" i="11" l="1"/>
  <c r="E160" i="11"/>
  <c r="D160" i="11"/>
  <c r="H160" i="11"/>
  <c r="G160" i="11"/>
  <c r="A167" i="3"/>
  <c r="X166" i="3"/>
  <c r="A161" i="11"/>
  <c r="H159" i="3"/>
  <c r="I159" i="3"/>
  <c r="B161" i="3"/>
  <c r="D161" i="4"/>
  <c r="N161" i="4" s="1"/>
  <c r="H160" i="4"/>
  <c r="O160" i="4"/>
  <c r="J160" i="4"/>
  <c r="G160" i="4"/>
  <c r="I160" i="4"/>
  <c r="E160" i="4"/>
  <c r="L160" i="4"/>
  <c r="K160" i="4"/>
  <c r="F160" i="4"/>
  <c r="G161" i="11" l="1"/>
  <c r="F161" i="11"/>
  <c r="E161" i="11"/>
  <c r="D161" i="11"/>
  <c r="H161" i="11"/>
  <c r="A168" i="3"/>
  <c r="X167" i="3"/>
  <c r="A162" i="11"/>
  <c r="I160" i="3"/>
  <c r="H160" i="3"/>
  <c r="B162" i="3"/>
  <c r="D162" i="4"/>
  <c r="N162" i="4" s="1"/>
  <c r="O161" i="4"/>
  <c r="H161" i="4"/>
  <c r="G161" i="4"/>
  <c r="I161" i="4"/>
  <c r="F161" i="4"/>
  <c r="E161" i="4"/>
  <c r="K161" i="4"/>
  <c r="J161" i="4"/>
  <c r="L161" i="4"/>
  <c r="H162" i="11" l="1"/>
  <c r="G162" i="11"/>
  <c r="F162" i="11"/>
  <c r="E162" i="11"/>
  <c r="D162" i="11"/>
  <c r="A169" i="3"/>
  <c r="X168" i="3"/>
  <c r="A163" i="11"/>
  <c r="H161" i="3"/>
  <c r="I161" i="3"/>
  <c r="B163" i="3"/>
  <c r="D163" i="4"/>
  <c r="N163" i="4" s="1"/>
  <c r="E162" i="4"/>
  <c r="H162" i="4"/>
  <c r="F162" i="4"/>
  <c r="I162" i="4"/>
  <c r="G162" i="4"/>
  <c r="K162" i="4"/>
  <c r="J162" i="4"/>
  <c r="O162" i="4"/>
  <c r="L162" i="4"/>
  <c r="H163" i="11" l="1"/>
  <c r="G163" i="11"/>
  <c r="F163" i="11"/>
  <c r="D163" i="11"/>
  <c r="E163" i="11"/>
  <c r="A170" i="3"/>
  <c r="X169" i="3"/>
  <c r="A164" i="11"/>
  <c r="B164" i="3"/>
  <c r="D164" i="4"/>
  <c r="N164" i="4" s="1"/>
  <c r="I163" i="4"/>
  <c r="O163" i="4"/>
  <c r="F163" i="4"/>
  <c r="H163" i="4"/>
  <c r="G163" i="4"/>
  <c r="L163" i="4"/>
  <c r="K163" i="4"/>
  <c r="J163" i="4"/>
  <c r="E163" i="4"/>
  <c r="H162" i="3"/>
  <c r="I162" i="3"/>
  <c r="A171" i="3" l="1"/>
  <c r="X170" i="3"/>
  <c r="H164" i="11"/>
  <c r="G164" i="11"/>
  <c r="F164" i="11"/>
  <c r="D164" i="11"/>
  <c r="E164" i="11"/>
  <c r="A165" i="11"/>
  <c r="K164" i="4"/>
  <c r="L164" i="4"/>
  <c r="E164" i="4"/>
  <c r="J164" i="4"/>
  <c r="F164" i="4"/>
  <c r="G164" i="4"/>
  <c r="O164" i="4"/>
  <c r="H164" i="4"/>
  <c r="I164" i="4"/>
  <c r="B165" i="3"/>
  <c r="D165" i="4"/>
  <c r="N165" i="4" s="1"/>
  <c r="H163" i="3"/>
  <c r="I163" i="3"/>
  <c r="H165" i="11" l="1"/>
  <c r="G165" i="11"/>
  <c r="F165" i="11"/>
  <c r="E165" i="11"/>
  <c r="D165" i="11"/>
  <c r="A172" i="3"/>
  <c r="X171" i="3"/>
  <c r="A166" i="11"/>
  <c r="B166" i="3"/>
  <c r="D166" i="4"/>
  <c r="N166" i="4" s="1"/>
  <c r="H165" i="4"/>
  <c r="G165" i="4"/>
  <c r="I165" i="4"/>
  <c r="K165" i="4"/>
  <c r="J165" i="4"/>
  <c r="F165" i="4"/>
  <c r="L165" i="4"/>
  <c r="E165" i="4"/>
  <c r="O165" i="4"/>
  <c r="H164" i="3"/>
  <c r="I164" i="3"/>
  <c r="H166" i="11" l="1"/>
  <c r="G166" i="11"/>
  <c r="F166" i="11"/>
  <c r="E166" i="11"/>
  <c r="D166" i="11"/>
  <c r="A173" i="3"/>
  <c r="X172" i="3"/>
  <c r="A167" i="11"/>
  <c r="O166" i="4"/>
  <c r="G166" i="4"/>
  <c r="L166" i="4"/>
  <c r="H166" i="4"/>
  <c r="I166" i="4"/>
  <c r="E166" i="4"/>
  <c r="K166" i="4"/>
  <c r="J166" i="4"/>
  <c r="F166" i="4"/>
  <c r="H165" i="3"/>
  <c r="I165" i="3"/>
  <c r="B167" i="3"/>
  <c r="D167" i="4"/>
  <c r="N167" i="4" s="1"/>
  <c r="A174" i="3" l="1"/>
  <c r="X173" i="3"/>
  <c r="H167" i="11"/>
  <c r="G167" i="11"/>
  <c r="F167" i="11"/>
  <c r="E167" i="11"/>
  <c r="D167" i="11"/>
  <c r="A168" i="11"/>
  <c r="B168" i="3"/>
  <c r="D168" i="4"/>
  <c r="N168" i="4" s="1"/>
  <c r="E167" i="4"/>
  <c r="O167" i="4"/>
  <c r="J167" i="4"/>
  <c r="F167" i="4"/>
  <c r="G167" i="4"/>
  <c r="K167" i="4"/>
  <c r="I167" i="4"/>
  <c r="H167" i="4"/>
  <c r="L167" i="4"/>
  <c r="H166" i="3"/>
  <c r="I166" i="3"/>
  <c r="G168" i="11" l="1"/>
  <c r="F168" i="11"/>
  <c r="E168" i="11"/>
  <c r="D168" i="11"/>
  <c r="H168" i="11"/>
  <c r="A175" i="3"/>
  <c r="X174" i="3"/>
  <c r="A169" i="11"/>
  <c r="O168" i="4"/>
  <c r="H168" i="4"/>
  <c r="G168" i="4"/>
  <c r="I168" i="4"/>
  <c r="K168" i="4"/>
  <c r="F168" i="4"/>
  <c r="E168" i="4"/>
  <c r="J168" i="4"/>
  <c r="L168" i="4"/>
  <c r="I167" i="3"/>
  <c r="H167" i="3"/>
  <c r="B169" i="3"/>
  <c r="D169" i="4"/>
  <c r="N169" i="4" s="1"/>
  <c r="H169" i="11" l="1"/>
  <c r="G169" i="11"/>
  <c r="F169" i="11"/>
  <c r="E169" i="11"/>
  <c r="D169" i="11"/>
  <c r="A176" i="3"/>
  <c r="X175" i="3"/>
  <c r="A170" i="11"/>
  <c r="B170" i="3"/>
  <c r="D170" i="4"/>
  <c r="N170" i="4" s="1"/>
  <c r="I168" i="3"/>
  <c r="H168" i="3"/>
  <c r="O169" i="4"/>
  <c r="F169" i="4"/>
  <c r="E169" i="4"/>
  <c r="H169" i="4"/>
  <c r="I169" i="4"/>
  <c r="K169" i="4"/>
  <c r="G169" i="4"/>
  <c r="L169" i="4"/>
  <c r="J169" i="4"/>
  <c r="A177" i="3" l="1"/>
  <c r="X176" i="3"/>
  <c r="H170" i="11"/>
  <c r="G170" i="11"/>
  <c r="F170" i="11"/>
  <c r="E170" i="11"/>
  <c r="D170" i="11"/>
  <c r="A171" i="11"/>
  <c r="L170" i="4"/>
  <c r="F170" i="4"/>
  <c r="G170" i="4"/>
  <c r="H170" i="4"/>
  <c r="O170" i="4"/>
  <c r="I170" i="4"/>
  <c r="E170" i="4"/>
  <c r="K170" i="4"/>
  <c r="J170" i="4"/>
  <c r="I169" i="3"/>
  <c r="H169" i="3"/>
  <c r="B171" i="3"/>
  <c r="D171" i="4"/>
  <c r="N171" i="4" s="1"/>
  <c r="H171" i="11" l="1"/>
  <c r="G171" i="11"/>
  <c r="F171" i="11"/>
  <c r="E171" i="11"/>
  <c r="D171" i="11"/>
  <c r="A178" i="3"/>
  <c r="X177" i="3"/>
  <c r="A172" i="11"/>
  <c r="H170" i="3"/>
  <c r="I170" i="3"/>
  <c r="O171" i="4"/>
  <c r="F171" i="4"/>
  <c r="E171" i="4"/>
  <c r="I171" i="4"/>
  <c r="H171" i="4"/>
  <c r="K171" i="4"/>
  <c r="G171" i="4"/>
  <c r="J171" i="4"/>
  <c r="L171" i="4"/>
  <c r="B172" i="3"/>
  <c r="D172" i="4"/>
  <c r="N172" i="4" s="1"/>
  <c r="A179" i="3" l="1"/>
  <c r="X178" i="3"/>
  <c r="H172" i="11"/>
  <c r="G172" i="11"/>
  <c r="F172" i="11"/>
  <c r="E172" i="11"/>
  <c r="D172" i="11"/>
  <c r="A173" i="11"/>
  <c r="I171" i="3"/>
  <c r="H171" i="3"/>
  <c r="O172" i="4"/>
  <c r="H172" i="4"/>
  <c r="G172" i="4"/>
  <c r="F172" i="4"/>
  <c r="I172" i="4"/>
  <c r="J172" i="4"/>
  <c r="K172" i="4"/>
  <c r="E172" i="4"/>
  <c r="L172" i="4"/>
  <c r="B173" i="3"/>
  <c r="D173" i="4"/>
  <c r="N173" i="4" s="1"/>
  <c r="H173" i="11" l="1"/>
  <c r="G173" i="11"/>
  <c r="F173" i="11"/>
  <c r="E173" i="11"/>
  <c r="D173" i="11"/>
  <c r="A180" i="3"/>
  <c r="X179" i="3"/>
  <c r="A174" i="11"/>
  <c r="I172" i="3"/>
  <c r="H172" i="3"/>
  <c r="B174" i="3"/>
  <c r="D174" i="4"/>
  <c r="N174" i="4" s="1"/>
  <c r="J173" i="4"/>
  <c r="H173" i="4"/>
  <c r="G173" i="4"/>
  <c r="O173" i="4"/>
  <c r="E173" i="4"/>
  <c r="K173" i="4"/>
  <c r="F173" i="4"/>
  <c r="I173" i="4"/>
  <c r="L173" i="4"/>
  <c r="H174" i="11" l="1"/>
  <c r="G174" i="11"/>
  <c r="F174" i="11"/>
  <c r="E174" i="11"/>
  <c r="D174" i="11"/>
  <c r="A181" i="3"/>
  <c r="X180" i="3"/>
  <c r="A175" i="11"/>
  <c r="O174" i="4"/>
  <c r="I174" i="4"/>
  <c r="F174" i="4"/>
  <c r="J174" i="4"/>
  <c r="H174" i="4"/>
  <c r="L174" i="4"/>
  <c r="G174" i="4"/>
  <c r="E174" i="4"/>
  <c r="K174" i="4"/>
  <c r="B175" i="3"/>
  <c r="D175" i="4"/>
  <c r="N175" i="4" s="1"/>
  <c r="I173" i="3"/>
  <c r="H173" i="3"/>
  <c r="H175" i="11" l="1"/>
  <c r="G175" i="11"/>
  <c r="F175" i="11"/>
  <c r="E175" i="11"/>
  <c r="D175" i="11"/>
  <c r="A182" i="3"/>
  <c r="X181" i="3"/>
  <c r="A176" i="11"/>
  <c r="I174" i="3"/>
  <c r="H174" i="3"/>
  <c r="H175" i="4"/>
  <c r="G175" i="4"/>
  <c r="O175" i="4"/>
  <c r="I175" i="4"/>
  <c r="J175" i="4"/>
  <c r="K175" i="4"/>
  <c r="E175" i="4"/>
  <c r="L175" i="4"/>
  <c r="F175" i="4"/>
  <c r="B176" i="3"/>
  <c r="D176" i="4"/>
  <c r="N176" i="4" s="1"/>
  <c r="A183" i="3" l="1"/>
  <c r="X182" i="3"/>
  <c r="H176" i="11"/>
  <c r="G176" i="11"/>
  <c r="E176" i="11"/>
  <c r="D176" i="11"/>
  <c r="F176" i="11"/>
  <c r="A177" i="11"/>
  <c r="I175" i="3"/>
  <c r="H175" i="3"/>
  <c r="L176" i="4"/>
  <c r="J176" i="4"/>
  <c r="E176" i="4"/>
  <c r="F176" i="4"/>
  <c r="O176" i="4"/>
  <c r="K176" i="4"/>
  <c r="H176" i="4"/>
  <c r="I176" i="4"/>
  <c r="G176" i="4"/>
  <c r="B177" i="3"/>
  <c r="D177" i="4"/>
  <c r="N177" i="4" s="1"/>
  <c r="H177" i="11" l="1"/>
  <c r="G177" i="11"/>
  <c r="E177" i="11"/>
  <c r="D177" i="11"/>
  <c r="F177" i="11"/>
  <c r="A184" i="3"/>
  <c r="X183" i="3"/>
  <c r="A178" i="11"/>
  <c r="B178" i="3"/>
  <c r="D178" i="4"/>
  <c r="N178" i="4" s="1"/>
  <c r="H176" i="3"/>
  <c r="I176" i="3"/>
  <c r="G177" i="4"/>
  <c r="F177" i="4"/>
  <c r="I177" i="4"/>
  <c r="K177" i="4"/>
  <c r="J177" i="4"/>
  <c r="L177" i="4"/>
  <c r="E177" i="4"/>
  <c r="O177" i="4"/>
  <c r="H177" i="4"/>
  <c r="A185" i="3" l="1"/>
  <c r="X184" i="3"/>
  <c r="H178" i="11"/>
  <c r="G178" i="11"/>
  <c r="F178" i="11"/>
  <c r="E178" i="11"/>
  <c r="D178" i="11"/>
  <c r="A179" i="11"/>
  <c r="I177" i="3"/>
  <c r="H177" i="3"/>
  <c r="K178" i="4"/>
  <c r="L178" i="4"/>
  <c r="J178" i="4"/>
  <c r="F178" i="4"/>
  <c r="E178" i="4"/>
  <c r="G178" i="4"/>
  <c r="O178" i="4"/>
  <c r="I178" i="4"/>
  <c r="H178" i="4"/>
  <c r="B179" i="3"/>
  <c r="D179" i="4"/>
  <c r="N179" i="4" s="1"/>
  <c r="H179" i="11" l="1"/>
  <c r="G179" i="11"/>
  <c r="F179" i="11"/>
  <c r="D179" i="11"/>
  <c r="E179" i="11"/>
  <c r="A186" i="3"/>
  <c r="X185" i="3"/>
  <c r="A180" i="11"/>
  <c r="H178" i="3"/>
  <c r="I178" i="3"/>
  <c r="O179" i="4"/>
  <c r="H179" i="4"/>
  <c r="G179" i="4"/>
  <c r="F179" i="4"/>
  <c r="L179" i="4"/>
  <c r="I179" i="4"/>
  <c r="J179" i="4"/>
  <c r="K179" i="4"/>
  <c r="E179" i="4"/>
  <c r="B180" i="3"/>
  <c r="D180" i="4"/>
  <c r="N180" i="4" s="1"/>
  <c r="A187" i="3" l="1"/>
  <c r="X186" i="3"/>
  <c r="H180" i="11"/>
  <c r="G180" i="11"/>
  <c r="F180" i="11"/>
  <c r="E180" i="11"/>
  <c r="D180" i="11"/>
  <c r="A181" i="11"/>
  <c r="H180" i="4"/>
  <c r="L180" i="4"/>
  <c r="F180" i="4"/>
  <c r="O180" i="4"/>
  <c r="I180" i="4"/>
  <c r="K180" i="4"/>
  <c r="G180" i="4"/>
  <c r="J180" i="4"/>
  <c r="E180" i="4"/>
  <c r="B181" i="3"/>
  <c r="D181" i="4"/>
  <c r="N181" i="4" s="1"/>
  <c r="H179" i="3"/>
  <c r="I179" i="3"/>
  <c r="H181" i="11" l="1"/>
  <c r="G181" i="11"/>
  <c r="F181" i="11"/>
  <c r="E181" i="11"/>
  <c r="D181" i="11"/>
  <c r="A188" i="3"/>
  <c r="X187" i="3"/>
  <c r="A182" i="11"/>
  <c r="H180" i="3"/>
  <c r="I180" i="3"/>
  <c r="O181" i="4"/>
  <c r="F181" i="4"/>
  <c r="K181" i="4"/>
  <c r="H181" i="4"/>
  <c r="I181" i="4"/>
  <c r="G181" i="4"/>
  <c r="J181" i="4"/>
  <c r="L181" i="4"/>
  <c r="E181" i="4"/>
  <c r="B182" i="3"/>
  <c r="D182" i="4"/>
  <c r="N182" i="4" s="1"/>
  <c r="A189" i="3" l="1"/>
  <c r="X188" i="3"/>
  <c r="H182" i="11"/>
  <c r="G182" i="11"/>
  <c r="F182" i="11"/>
  <c r="E182" i="11"/>
  <c r="D182" i="11"/>
  <c r="A183" i="11"/>
  <c r="B183" i="3"/>
  <c r="D183" i="4"/>
  <c r="N183" i="4" s="1"/>
  <c r="I181" i="3"/>
  <c r="H181" i="3"/>
  <c r="F182" i="4"/>
  <c r="I182" i="4"/>
  <c r="K182" i="4"/>
  <c r="L182" i="4"/>
  <c r="H182" i="4"/>
  <c r="J182" i="4"/>
  <c r="G182" i="4"/>
  <c r="O182" i="4"/>
  <c r="E182" i="4"/>
  <c r="H183" i="11" l="1"/>
  <c r="G183" i="11"/>
  <c r="F183" i="11"/>
  <c r="E183" i="11"/>
  <c r="D183" i="11"/>
  <c r="A190" i="3"/>
  <c r="X189" i="3"/>
  <c r="A184" i="11"/>
  <c r="I182" i="3"/>
  <c r="H182" i="3"/>
  <c r="B184" i="3"/>
  <c r="D184" i="4"/>
  <c r="N184" i="4" s="1"/>
  <c r="O183" i="4"/>
  <c r="H183" i="4"/>
  <c r="G183" i="4"/>
  <c r="I183" i="4"/>
  <c r="K183" i="4"/>
  <c r="J183" i="4"/>
  <c r="E183" i="4"/>
  <c r="L183" i="4"/>
  <c r="F183" i="4"/>
  <c r="H184" i="11" l="1"/>
  <c r="E184" i="11"/>
  <c r="D184" i="11"/>
  <c r="G184" i="11"/>
  <c r="F184" i="11"/>
  <c r="A191" i="3"/>
  <c r="X190" i="3"/>
  <c r="A185" i="11"/>
  <c r="O184" i="4"/>
  <c r="E184" i="4"/>
  <c r="K184" i="4"/>
  <c r="G184" i="4"/>
  <c r="L184" i="4"/>
  <c r="J184" i="4"/>
  <c r="F184" i="4"/>
  <c r="H184" i="4"/>
  <c r="I184" i="4"/>
  <c r="H183" i="3"/>
  <c r="I183" i="3"/>
  <c r="B185" i="3"/>
  <c r="D185" i="4"/>
  <c r="N185" i="4" s="1"/>
  <c r="A192" i="3" l="1"/>
  <c r="X191" i="3"/>
  <c r="F185" i="11"/>
  <c r="H185" i="11"/>
  <c r="E185" i="11"/>
  <c r="D185" i="11"/>
  <c r="G185" i="11"/>
  <c r="A186" i="11"/>
  <c r="B186" i="3"/>
  <c r="D186" i="4"/>
  <c r="N186" i="4" s="1"/>
  <c r="H184" i="3"/>
  <c r="I184" i="3"/>
  <c r="F185" i="4"/>
  <c r="O185" i="4"/>
  <c r="K185" i="4"/>
  <c r="H185" i="4"/>
  <c r="I185" i="4"/>
  <c r="L185" i="4"/>
  <c r="J185" i="4"/>
  <c r="E185" i="4"/>
  <c r="G185" i="4"/>
  <c r="H186" i="11" l="1"/>
  <c r="G186" i="11"/>
  <c r="F186" i="11"/>
  <c r="E186" i="11"/>
  <c r="D186" i="11"/>
  <c r="A193" i="3"/>
  <c r="X192" i="3"/>
  <c r="A187" i="11"/>
  <c r="I185" i="3"/>
  <c r="H185" i="3"/>
  <c r="J186" i="4"/>
  <c r="O186" i="4"/>
  <c r="G186" i="4"/>
  <c r="F186" i="4"/>
  <c r="E186" i="4"/>
  <c r="K186" i="4"/>
  <c r="L186" i="4"/>
  <c r="H186" i="4"/>
  <c r="I186" i="4"/>
  <c r="B187" i="3"/>
  <c r="D187" i="4"/>
  <c r="N187" i="4" s="1"/>
  <c r="A194" i="3" l="1"/>
  <c r="X193" i="3"/>
  <c r="H187" i="11"/>
  <c r="G187" i="11"/>
  <c r="F187" i="11"/>
  <c r="E187" i="11"/>
  <c r="D187" i="11"/>
  <c r="A188" i="11"/>
  <c r="I187" i="4"/>
  <c r="E187" i="4"/>
  <c r="O187" i="4"/>
  <c r="H187" i="4"/>
  <c r="F187" i="4"/>
  <c r="K187" i="4"/>
  <c r="J187" i="4"/>
  <c r="L187" i="4"/>
  <c r="G187" i="4"/>
  <c r="H186" i="3"/>
  <c r="I186" i="3"/>
  <c r="B188" i="3"/>
  <c r="D188" i="4"/>
  <c r="N188" i="4" s="1"/>
  <c r="H188" i="11" l="1"/>
  <c r="G188" i="11"/>
  <c r="F188" i="11"/>
  <c r="E188" i="11"/>
  <c r="D188" i="11"/>
  <c r="A195" i="3"/>
  <c r="X194" i="3"/>
  <c r="A189" i="11"/>
  <c r="H187" i="3"/>
  <c r="I187" i="3"/>
  <c r="B189" i="3"/>
  <c r="D189" i="4"/>
  <c r="N189" i="4" s="1"/>
  <c r="I188" i="4"/>
  <c r="K188" i="4"/>
  <c r="J188" i="4"/>
  <c r="L188" i="4"/>
  <c r="E188" i="4"/>
  <c r="O188" i="4"/>
  <c r="H188" i="4"/>
  <c r="F188" i="4"/>
  <c r="G188" i="4"/>
  <c r="H189" i="11" l="1"/>
  <c r="G189" i="11"/>
  <c r="F189" i="11"/>
  <c r="E189" i="11"/>
  <c r="D189" i="11"/>
  <c r="A196" i="3"/>
  <c r="X195" i="3"/>
  <c r="A190" i="11"/>
  <c r="B190" i="3"/>
  <c r="D190" i="4"/>
  <c r="N190" i="4" s="1"/>
  <c r="H188" i="3"/>
  <c r="I188" i="3"/>
  <c r="H189" i="4"/>
  <c r="L189" i="4"/>
  <c r="E189" i="4"/>
  <c r="G189" i="4"/>
  <c r="K189" i="4"/>
  <c r="I189" i="4"/>
  <c r="J189" i="4"/>
  <c r="F189" i="4"/>
  <c r="O189" i="4"/>
  <c r="A197" i="3" l="1"/>
  <c r="X196" i="3"/>
  <c r="H190" i="11"/>
  <c r="G190" i="11"/>
  <c r="F190" i="11"/>
  <c r="E190" i="11"/>
  <c r="D190" i="11"/>
  <c r="A191" i="11"/>
  <c r="B191" i="3"/>
  <c r="D191" i="4"/>
  <c r="N191" i="4" s="1"/>
  <c r="O190" i="4"/>
  <c r="F190" i="4"/>
  <c r="J190" i="4"/>
  <c r="H190" i="4"/>
  <c r="I190" i="4"/>
  <c r="K190" i="4"/>
  <c r="G190" i="4"/>
  <c r="L190" i="4"/>
  <c r="E190" i="4"/>
  <c r="I189" i="3"/>
  <c r="H189" i="3"/>
  <c r="H191" i="11" l="1"/>
  <c r="G191" i="11"/>
  <c r="F191" i="11"/>
  <c r="E191" i="11"/>
  <c r="D191" i="11"/>
  <c r="A198" i="3"/>
  <c r="X197" i="3"/>
  <c r="A192" i="11"/>
  <c r="I190" i="3"/>
  <c r="H190" i="3"/>
  <c r="L191" i="4"/>
  <c r="H191" i="4"/>
  <c r="G191" i="4"/>
  <c r="O191" i="4"/>
  <c r="E191" i="4"/>
  <c r="F191" i="4"/>
  <c r="J191" i="4"/>
  <c r="K191" i="4"/>
  <c r="I191" i="4"/>
  <c r="B192" i="3"/>
  <c r="D192" i="4"/>
  <c r="N192" i="4" s="1"/>
  <c r="A199" i="3" l="1"/>
  <c r="X198" i="3"/>
  <c r="F192" i="11"/>
  <c r="E192" i="11"/>
  <c r="D192" i="11"/>
  <c r="H192" i="11"/>
  <c r="G192" i="11"/>
  <c r="A193" i="11"/>
  <c r="L192" i="4"/>
  <c r="J192" i="4"/>
  <c r="F192" i="4"/>
  <c r="O192" i="4"/>
  <c r="E192" i="4"/>
  <c r="H192" i="4"/>
  <c r="K192" i="4"/>
  <c r="G192" i="4"/>
  <c r="I192" i="4"/>
  <c r="H191" i="3"/>
  <c r="I191" i="3"/>
  <c r="B193" i="3"/>
  <c r="D193" i="4"/>
  <c r="N193" i="4" s="1"/>
  <c r="G193" i="11" l="1"/>
  <c r="F193" i="11"/>
  <c r="E193" i="11"/>
  <c r="D193" i="11"/>
  <c r="H193" i="11"/>
  <c r="A200" i="3"/>
  <c r="X199" i="3"/>
  <c r="A194" i="11"/>
  <c r="O193" i="4"/>
  <c r="I193" i="4"/>
  <c r="J193" i="4"/>
  <c r="H193" i="4"/>
  <c r="K193" i="4"/>
  <c r="G193" i="4"/>
  <c r="L193" i="4"/>
  <c r="E193" i="4"/>
  <c r="F193" i="4"/>
  <c r="B194" i="3"/>
  <c r="D194" i="4"/>
  <c r="N194" i="4" s="1"/>
  <c r="I192" i="3"/>
  <c r="H192" i="3"/>
  <c r="H194" i="11" l="1"/>
  <c r="G194" i="11"/>
  <c r="F194" i="11"/>
  <c r="E194" i="11"/>
  <c r="D194" i="11"/>
  <c r="A201" i="3"/>
  <c r="X201" i="3" s="1"/>
  <c r="X200" i="3"/>
  <c r="A195" i="11"/>
  <c r="B195" i="3"/>
  <c r="D195" i="4"/>
  <c r="N195" i="4" s="1"/>
  <c r="I193" i="3"/>
  <c r="H193" i="3"/>
  <c r="G194" i="4"/>
  <c r="I194" i="4"/>
  <c r="K194" i="4"/>
  <c r="H194" i="4"/>
  <c r="L194" i="4"/>
  <c r="J194" i="4"/>
  <c r="O194" i="4"/>
  <c r="E194" i="4"/>
  <c r="F194" i="4"/>
  <c r="H195" i="11" l="1"/>
  <c r="G195" i="11"/>
  <c r="F195" i="11"/>
  <c r="D195" i="11"/>
  <c r="E195" i="11"/>
  <c r="A196" i="11"/>
  <c r="K195" i="4"/>
  <c r="H195" i="4"/>
  <c r="I195" i="4"/>
  <c r="G195" i="4"/>
  <c r="L195" i="4"/>
  <c r="E195" i="4"/>
  <c r="J195" i="4"/>
  <c r="F195" i="4"/>
  <c r="O195" i="4"/>
  <c r="B196" i="3"/>
  <c r="D196" i="4"/>
  <c r="N196" i="4" s="1"/>
  <c r="H194" i="3"/>
  <c r="I194" i="3"/>
  <c r="H196" i="11" l="1"/>
  <c r="G196" i="11"/>
  <c r="F196" i="11"/>
  <c r="D196" i="11"/>
  <c r="E196" i="11"/>
  <c r="A197" i="11"/>
  <c r="H196" i="4"/>
  <c r="K196" i="4"/>
  <c r="O196" i="4"/>
  <c r="G196" i="4"/>
  <c r="E196" i="4"/>
  <c r="J196" i="4"/>
  <c r="I196" i="4"/>
  <c r="L196" i="4"/>
  <c r="F196" i="4"/>
  <c r="H195" i="3"/>
  <c r="I195" i="3"/>
  <c r="B197" i="3"/>
  <c r="D197" i="4"/>
  <c r="N197" i="4" s="1"/>
  <c r="H197" i="11" l="1"/>
  <c r="G197" i="11"/>
  <c r="F197" i="11"/>
  <c r="E197" i="11"/>
  <c r="D197" i="11"/>
  <c r="A198" i="11"/>
  <c r="H196" i="3"/>
  <c r="I196" i="3"/>
  <c r="B198" i="3"/>
  <c r="D198" i="4"/>
  <c r="N198" i="4" s="1"/>
  <c r="G197" i="4"/>
  <c r="L197" i="4"/>
  <c r="F197" i="4"/>
  <c r="K197" i="4"/>
  <c r="I197" i="4"/>
  <c r="E197" i="4"/>
  <c r="H197" i="4"/>
  <c r="J197" i="4"/>
  <c r="O197" i="4"/>
  <c r="H198" i="11" l="1"/>
  <c r="G198" i="11"/>
  <c r="F198" i="11"/>
  <c r="E198" i="11"/>
  <c r="D198" i="11"/>
  <c r="A199" i="11"/>
  <c r="I197" i="3"/>
  <c r="H197" i="3"/>
  <c r="L198" i="4"/>
  <c r="E198" i="4"/>
  <c r="F198" i="4"/>
  <c r="O198" i="4"/>
  <c r="G198" i="4"/>
  <c r="H198" i="4"/>
  <c r="K198" i="4"/>
  <c r="I198" i="4"/>
  <c r="J198" i="4"/>
  <c r="B199" i="3"/>
  <c r="D199" i="4"/>
  <c r="N199" i="4" s="1"/>
  <c r="H199" i="11" l="1"/>
  <c r="G199" i="11"/>
  <c r="F199" i="11"/>
  <c r="E199" i="11"/>
  <c r="D199" i="11"/>
  <c r="A200" i="11"/>
  <c r="E199" i="4"/>
  <c r="F199" i="4"/>
  <c r="K199" i="4"/>
  <c r="O199" i="4"/>
  <c r="H199" i="4"/>
  <c r="G199" i="4"/>
  <c r="I199" i="4"/>
  <c r="J199" i="4"/>
  <c r="L199" i="4"/>
  <c r="B200" i="3"/>
  <c r="D200" i="4"/>
  <c r="N200" i="4" s="1"/>
  <c r="H198" i="3"/>
  <c r="I198" i="3"/>
  <c r="G200" i="11" l="1"/>
  <c r="F200" i="11"/>
  <c r="E200" i="11"/>
  <c r="D200" i="11"/>
  <c r="H200" i="11"/>
  <c r="A201" i="11"/>
  <c r="B201" i="3"/>
  <c r="D201" i="4"/>
  <c r="N201" i="4" s="1"/>
  <c r="O200" i="4"/>
  <c r="G200" i="4"/>
  <c r="K200" i="4"/>
  <c r="I200" i="4"/>
  <c r="J200" i="4"/>
  <c r="E200" i="4"/>
  <c r="L200" i="4"/>
  <c r="F200" i="4"/>
  <c r="H200" i="4"/>
  <c r="I199" i="3"/>
  <c r="H199" i="3"/>
  <c r="H201" i="11" l="1"/>
  <c r="G201" i="11"/>
  <c r="F201" i="11"/>
  <c r="E201" i="11"/>
  <c r="D201" i="11"/>
  <c r="B1" i="11" a="1"/>
  <c r="E201" i="4"/>
  <c r="O201" i="4"/>
  <c r="F201" i="4"/>
  <c r="G201" i="4"/>
  <c r="K201" i="4"/>
  <c r="I201" i="4"/>
  <c r="A1" i="4" s="1" a="1"/>
  <c r="H201" i="4"/>
  <c r="J201" i="4"/>
  <c r="B1" i="4" s="1" a="1"/>
  <c r="L201" i="4"/>
  <c r="I200" i="3"/>
  <c r="H200" i="3"/>
  <c r="B1" i="11" l="1"/>
  <c r="C93" i="3"/>
  <c r="C29" i="3"/>
  <c r="C100" i="3"/>
  <c r="C36" i="3"/>
  <c r="C131" i="3"/>
  <c r="C35" i="3"/>
  <c r="C186" i="3"/>
  <c r="C122" i="3"/>
  <c r="C58" i="3"/>
  <c r="C173" i="3"/>
  <c r="C177" i="3"/>
  <c r="C113" i="3"/>
  <c r="C49" i="3"/>
  <c r="C132" i="3"/>
  <c r="C160" i="3"/>
  <c r="C96" i="3"/>
  <c r="C32" i="3"/>
  <c r="C123" i="3"/>
  <c r="C143" i="3"/>
  <c r="C79" i="3"/>
  <c r="C15" i="3"/>
  <c r="C198" i="3"/>
  <c r="C134" i="3"/>
  <c r="C70" i="3"/>
  <c r="C6" i="3"/>
  <c r="C7" i="3"/>
  <c r="C126" i="3"/>
  <c r="C188" i="3"/>
  <c r="C94" i="3"/>
  <c r="C129" i="3"/>
  <c r="C31" i="3"/>
  <c r="C108" i="3"/>
  <c r="C168" i="3"/>
  <c r="C142" i="3"/>
  <c r="C197" i="3"/>
  <c r="C85" i="3"/>
  <c r="C21" i="3"/>
  <c r="C92" i="3"/>
  <c r="C28" i="3"/>
  <c r="C91" i="3"/>
  <c r="C27" i="3"/>
  <c r="C178" i="3"/>
  <c r="C114" i="3"/>
  <c r="C50" i="3"/>
  <c r="C172" i="3"/>
  <c r="C169" i="3"/>
  <c r="C105" i="3"/>
  <c r="C41" i="3"/>
  <c r="C179" i="3"/>
  <c r="C152" i="3"/>
  <c r="C88" i="3"/>
  <c r="C24" i="3"/>
  <c r="C199" i="3"/>
  <c r="C135" i="3"/>
  <c r="C71" i="3"/>
  <c r="C190" i="3"/>
  <c r="C62" i="3"/>
  <c r="C195" i="3"/>
  <c r="C10" i="3"/>
  <c r="C48" i="3"/>
  <c r="C101" i="3"/>
  <c r="C66" i="3"/>
  <c r="C104" i="3"/>
  <c r="C139" i="3"/>
  <c r="C141" i="3"/>
  <c r="C77" i="3"/>
  <c r="C13" i="3"/>
  <c r="C84" i="3"/>
  <c r="C20" i="3"/>
  <c r="C83" i="3"/>
  <c r="C19" i="3"/>
  <c r="C170" i="3"/>
  <c r="C106" i="3"/>
  <c r="C42" i="3"/>
  <c r="C124" i="3"/>
  <c r="C161" i="3"/>
  <c r="C97" i="3"/>
  <c r="C33" i="3"/>
  <c r="C107" i="3"/>
  <c r="C144" i="3"/>
  <c r="C80" i="3"/>
  <c r="C16" i="3"/>
  <c r="C191" i="3"/>
  <c r="C127" i="3"/>
  <c r="C63" i="3"/>
  <c r="C149" i="3"/>
  <c r="C182" i="3"/>
  <c r="C118" i="3"/>
  <c r="C54" i="3"/>
  <c r="C39" i="3"/>
  <c r="C30" i="3"/>
  <c r="C176" i="3"/>
  <c r="C148" i="3"/>
  <c r="C171" i="3"/>
  <c r="C37" i="3"/>
  <c r="C2" i="3"/>
  <c r="C40" i="3"/>
  <c r="C133" i="3"/>
  <c r="C69" i="3"/>
  <c r="C5" i="3"/>
  <c r="C76" i="3"/>
  <c r="C12" i="3"/>
  <c r="C75" i="3"/>
  <c r="C11" i="3"/>
  <c r="C162" i="3"/>
  <c r="C98" i="3"/>
  <c r="C34" i="3"/>
  <c r="C155" i="3"/>
  <c r="C153" i="3"/>
  <c r="C89" i="3"/>
  <c r="C25" i="3"/>
  <c r="C200" i="3"/>
  <c r="C136" i="3"/>
  <c r="C72" i="3"/>
  <c r="C8" i="3"/>
  <c r="C183" i="3"/>
  <c r="C119" i="3"/>
  <c r="C55" i="3"/>
  <c r="C180" i="3"/>
  <c r="C174" i="3"/>
  <c r="C110" i="3"/>
  <c r="C46" i="3"/>
  <c r="C166" i="3"/>
  <c r="C38" i="3"/>
  <c r="C120" i="3"/>
  <c r="C158" i="3"/>
  <c r="C157" i="3"/>
  <c r="C95" i="3"/>
  <c r="C86" i="3"/>
  <c r="C44" i="3"/>
  <c r="C121" i="3"/>
  <c r="C23" i="3"/>
  <c r="C125" i="3"/>
  <c r="C61" i="3"/>
  <c r="C165" i="3"/>
  <c r="C68" i="3"/>
  <c r="C4" i="3"/>
  <c r="C67" i="3"/>
  <c r="C3" i="3"/>
  <c r="C154" i="3"/>
  <c r="C90" i="3"/>
  <c r="C26" i="3"/>
  <c r="C115" i="3"/>
  <c r="C145" i="3"/>
  <c r="C81" i="3"/>
  <c r="C17" i="3"/>
  <c r="C192" i="3"/>
  <c r="C128" i="3"/>
  <c r="C64" i="3"/>
  <c r="C189" i="3"/>
  <c r="C175" i="3"/>
  <c r="C111" i="3"/>
  <c r="C47" i="3"/>
  <c r="C140" i="3"/>
  <c r="C102" i="3"/>
  <c r="C167" i="3"/>
  <c r="C193" i="3"/>
  <c r="C150" i="3"/>
  <c r="C187" i="3"/>
  <c r="C130" i="3"/>
  <c r="C164" i="3"/>
  <c r="C151" i="3"/>
  <c r="C78" i="3"/>
  <c r="C117" i="3"/>
  <c r="C53" i="3"/>
  <c r="C156" i="3"/>
  <c r="C60" i="3"/>
  <c r="C181" i="3"/>
  <c r="C59" i="3"/>
  <c r="C147" i="3"/>
  <c r="C146" i="3"/>
  <c r="C82" i="3"/>
  <c r="C18" i="3"/>
  <c r="C201" i="3"/>
  <c r="C137" i="3"/>
  <c r="C73" i="3"/>
  <c r="C9" i="3"/>
  <c r="C184" i="3"/>
  <c r="C56" i="3"/>
  <c r="C103" i="3"/>
  <c r="C65" i="3"/>
  <c r="C159" i="3"/>
  <c r="C22" i="3"/>
  <c r="C43" i="3"/>
  <c r="C194" i="3"/>
  <c r="C185" i="3"/>
  <c r="C163" i="3"/>
  <c r="C14" i="3"/>
  <c r="C109" i="3"/>
  <c r="C45" i="3"/>
  <c r="C116" i="3"/>
  <c r="C52" i="3"/>
  <c r="C196" i="3"/>
  <c r="C51" i="3"/>
  <c r="C99" i="3"/>
  <c r="C138" i="3"/>
  <c r="C74" i="3"/>
  <c r="C112" i="3"/>
  <c r="C57" i="3"/>
  <c r="C87" i="3"/>
  <c r="B1" i="4"/>
  <c r="E2" i="3"/>
  <c r="E10" i="3"/>
  <c r="J10" i="3" s="1"/>
  <c r="P10" i="3" s="1"/>
  <c r="R10" i="3" s="1"/>
  <c r="E18" i="3"/>
  <c r="J18" i="3" s="1"/>
  <c r="P18" i="3" s="1"/>
  <c r="R18" i="3" s="1"/>
  <c r="E26" i="3"/>
  <c r="J26" i="3" s="1"/>
  <c r="P26" i="3" s="1"/>
  <c r="R26" i="3" s="1"/>
  <c r="E34" i="3"/>
  <c r="J34" i="3" s="1"/>
  <c r="P34" i="3" s="1"/>
  <c r="R34" i="3" s="1"/>
  <c r="E42" i="3"/>
  <c r="J42" i="3" s="1"/>
  <c r="P42" i="3" s="1"/>
  <c r="R42" i="3" s="1"/>
  <c r="E50" i="3"/>
  <c r="J50" i="3" s="1"/>
  <c r="P50" i="3" s="1"/>
  <c r="R50" i="3" s="1"/>
  <c r="E58" i="3"/>
  <c r="J58" i="3" s="1"/>
  <c r="P58" i="3" s="1"/>
  <c r="R58" i="3" s="1"/>
  <c r="E66" i="3"/>
  <c r="E74" i="3"/>
  <c r="J74" i="3" s="1"/>
  <c r="P74" i="3" s="1"/>
  <c r="R74" i="3" s="1"/>
  <c r="E82" i="3"/>
  <c r="J82" i="3" s="1"/>
  <c r="P82" i="3" s="1"/>
  <c r="R82" i="3" s="1"/>
  <c r="E90" i="3"/>
  <c r="J90" i="3" s="1"/>
  <c r="P90" i="3" s="1"/>
  <c r="R90" i="3" s="1"/>
  <c r="E98" i="3"/>
  <c r="J98" i="3" s="1"/>
  <c r="P98" i="3" s="1"/>
  <c r="R98" i="3" s="1"/>
  <c r="E106" i="3"/>
  <c r="J106" i="3" s="1"/>
  <c r="P106" i="3" s="1"/>
  <c r="R106" i="3" s="1"/>
  <c r="E114" i="3"/>
  <c r="J114" i="3" s="1"/>
  <c r="P114" i="3" s="1"/>
  <c r="R114" i="3" s="1"/>
  <c r="E122" i="3"/>
  <c r="E130" i="3"/>
  <c r="E138" i="3"/>
  <c r="J138" i="3" s="1"/>
  <c r="P138" i="3" s="1"/>
  <c r="R138" i="3" s="1"/>
  <c r="E146" i="3"/>
  <c r="J146" i="3" s="1"/>
  <c r="P146" i="3" s="1"/>
  <c r="R146" i="3" s="1"/>
  <c r="E154" i="3"/>
  <c r="J154" i="3" s="1"/>
  <c r="P154" i="3" s="1"/>
  <c r="R154" i="3" s="1"/>
  <c r="E162" i="3"/>
  <c r="J162" i="3" s="1"/>
  <c r="P162" i="3" s="1"/>
  <c r="R162" i="3" s="1"/>
  <c r="E170" i="3"/>
  <c r="J170" i="3" s="1"/>
  <c r="P170" i="3" s="1"/>
  <c r="R170" i="3" s="1"/>
  <c r="E178" i="3"/>
  <c r="J178" i="3" s="1"/>
  <c r="P178" i="3" s="1"/>
  <c r="R178" i="3" s="1"/>
  <c r="E186" i="3"/>
  <c r="J186" i="3" s="1"/>
  <c r="P186" i="3" s="1"/>
  <c r="R186" i="3" s="1"/>
  <c r="E3" i="3"/>
  <c r="E11" i="3"/>
  <c r="J11" i="3" s="1"/>
  <c r="P11" i="3" s="1"/>
  <c r="R11" i="3" s="1"/>
  <c r="E19" i="3"/>
  <c r="J19" i="3" s="1"/>
  <c r="P19" i="3" s="1"/>
  <c r="R19" i="3" s="1"/>
  <c r="E27" i="3"/>
  <c r="E35" i="3"/>
  <c r="J35" i="3" s="1"/>
  <c r="P35" i="3" s="1"/>
  <c r="R35" i="3" s="1"/>
  <c r="E43" i="3"/>
  <c r="J43" i="3" s="1"/>
  <c r="P43" i="3" s="1"/>
  <c r="R43" i="3" s="1"/>
  <c r="E51" i="3"/>
  <c r="J51" i="3" s="1"/>
  <c r="P51" i="3" s="1"/>
  <c r="R51" i="3" s="1"/>
  <c r="E59" i="3"/>
  <c r="E67" i="3"/>
  <c r="E75" i="3"/>
  <c r="J75" i="3" s="1"/>
  <c r="P75" i="3" s="1"/>
  <c r="R75" i="3" s="1"/>
  <c r="E83" i="3"/>
  <c r="J83" i="3" s="1"/>
  <c r="P83" i="3" s="1"/>
  <c r="R83" i="3" s="1"/>
  <c r="E91" i="3"/>
  <c r="J91" i="3" s="1"/>
  <c r="P91" i="3" s="1"/>
  <c r="R91" i="3" s="1"/>
  <c r="E99" i="3"/>
  <c r="J99" i="3" s="1"/>
  <c r="P99" i="3" s="1"/>
  <c r="R99" i="3" s="1"/>
  <c r="E107" i="3"/>
  <c r="J107" i="3" s="1"/>
  <c r="P107" i="3" s="1"/>
  <c r="R107" i="3" s="1"/>
  <c r="E115" i="3"/>
  <c r="J115" i="3" s="1"/>
  <c r="P115" i="3" s="1"/>
  <c r="R115" i="3" s="1"/>
  <c r="E123" i="3"/>
  <c r="E131" i="3"/>
  <c r="E139" i="3"/>
  <c r="J139" i="3" s="1"/>
  <c r="P139" i="3" s="1"/>
  <c r="R139" i="3" s="1"/>
  <c r="E147" i="3"/>
  <c r="J147" i="3" s="1"/>
  <c r="P147" i="3" s="1"/>
  <c r="R147" i="3" s="1"/>
  <c r="E155" i="3"/>
  <c r="J155" i="3" s="1"/>
  <c r="P155" i="3" s="1"/>
  <c r="R155" i="3" s="1"/>
  <c r="E163" i="3"/>
  <c r="J163" i="3" s="1"/>
  <c r="P163" i="3" s="1"/>
  <c r="R163" i="3" s="1"/>
  <c r="E171" i="3"/>
  <c r="J171" i="3" s="1"/>
  <c r="P171" i="3" s="1"/>
  <c r="R171" i="3" s="1"/>
  <c r="E179" i="3"/>
  <c r="J179" i="3" s="1"/>
  <c r="P179" i="3" s="1"/>
  <c r="R179" i="3" s="1"/>
  <c r="E187" i="3"/>
  <c r="E195" i="3"/>
  <c r="E4" i="3"/>
  <c r="J4" i="3" s="1"/>
  <c r="P4" i="3" s="1"/>
  <c r="R4" i="3" s="1"/>
  <c r="E12" i="3"/>
  <c r="J12" i="3" s="1"/>
  <c r="P12" i="3" s="1"/>
  <c r="R12" i="3" s="1"/>
  <c r="E20" i="3"/>
  <c r="J20" i="3" s="1"/>
  <c r="P20" i="3" s="1"/>
  <c r="R20" i="3" s="1"/>
  <c r="E28" i="3"/>
  <c r="E36" i="3"/>
  <c r="J36" i="3" s="1"/>
  <c r="P36" i="3" s="1"/>
  <c r="R36" i="3" s="1"/>
  <c r="E44" i="3"/>
  <c r="J44" i="3" s="1"/>
  <c r="P44" i="3" s="1"/>
  <c r="R44" i="3" s="1"/>
  <c r="E52" i="3"/>
  <c r="J52" i="3" s="1"/>
  <c r="P52" i="3" s="1"/>
  <c r="R52" i="3" s="1"/>
  <c r="E60" i="3"/>
  <c r="E68" i="3"/>
  <c r="J68" i="3" s="1"/>
  <c r="P68" i="3" s="1"/>
  <c r="R68" i="3" s="1"/>
  <c r="E76" i="3"/>
  <c r="J76" i="3" s="1"/>
  <c r="P76" i="3" s="1"/>
  <c r="R76" i="3" s="1"/>
  <c r="E84" i="3"/>
  <c r="J84" i="3" s="1"/>
  <c r="P84" i="3" s="1"/>
  <c r="R84" i="3" s="1"/>
  <c r="E92" i="3"/>
  <c r="J92" i="3" s="1"/>
  <c r="P92" i="3" s="1"/>
  <c r="R92" i="3" s="1"/>
  <c r="E100" i="3"/>
  <c r="J100" i="3" s="1"/>
  <c r="P100" i="3" s="1"/>
  <c r="R100" i="3" s="1"/>
  <c r="E108" i="3"/>
  <c r="J108" i="3" s="1"/>
  <c r="P108" i="3" s="1"/>
  <c r="R108" i="3" s="1"/>
  <c r="E116" i="3"/>
  <c r="J116" i="3" s="1"/>
  <c r="P116" i="3" s="1"/>
  <c r="R116" i="3" s="1"/>
  <c r="E124" i="3"/>
  <c r="J124" i="3" s="1"/>
  <c r="P124" i="3" s="1"/>
  <c r="R124" i="3" s="1"/>
  <c r="E132" i="3"/>
  <c r="J132" i="3" s="1"/>
  <c r="P132" i="3" s="1"/>
  <c r="R132" i="3" s="1"/>
  <c r="E140" i="3"/>
  <c r="J140" i="3" s="1"/>
  <c r="P140" i="3" s="1"/>
  <c r="R140" i="3" s="1"/>
  <c r="E148" i="3"/>
  <c r="J148" i="3" s="1"/>
  <c r="P148" i="3" s="1"/>
  <c r="R148" i="3" s="1"/>
  <c r="E156" i="3"/>
  <c r="J156" i="3" s="1"/>
  <c r="P156" i="3" s="1"/>
  <c r="R156" i="3" s="1"/>
  <c r="E164" i="3"/>
  <c r="J164" i="3" s="1"/>
  <c r="P164" i="3" s="1"/>
  <c r="R164" i="3" s="1"/>
  <c r="E172" i="3"/>
  <c r="J172" i="3" s="1"/>
  <c r="P172" i="3" s="1"/>
  <c r="R172" i="3" s="1"/>
  <c r="E180" i="3"/>
  <c r="J180" i="3" s="1"/>
  <c r="P180" i="3" s="1"/>
  <c r="R180" i="3" s="1"/>
  <c r="E188" i="3"/>
  <c r="E196" i="3"/>
  <c r="J196" i="3" s="1"/>
  <c r="P196" i="3" s="1"/>
  <c r="R196" i="3" s="1"/>
  <c r="E24" i="3"/>
  <c r="J24" i="3" s="1"/>
  <c r="P24" i="3" s="1"/>
  <c r="R24" i="3" s="1"/>
  <c r="E56" i="3"/>
  <c r="J56" i="3" s="1"/>
  <c r="P56" i="3" s="1"/>
  <c r="R56" i="3" s="1"/>
  <c r="E88" i="3"/>
  <c r="J88" i="3" s="1"/>
  <c r="P88" i="3" s="1"/>
  <c r="R88" i="3" s="1"/>
  <c r="E120" i="3"/>
  <c r="J120" i="3" s="1"/>
  <c r="P120" i="3" s="1"/>
  <c r="R120" i="3" s="1"/>
  <c r="E160" i="3"/>
  <c r="J160" i="3" s="1"/>
  <c r="P160" i="3" s="1"/>
  <c r="R160" i="3" s="1"/>
  <c r="E200" i="3"/>
  <c r="E17" i="3"/>
  <c r="J17" i="3" s="1"/>
  <c r="P17" i="3" s="1"/>
  <c r="R17" i="3" s="1"/>
  <c r="E73" i="3"/>
  <c r="J73" i="3" s="1"/>
  <c r="P73" i="3" s="1"/>
  <c r="R73" i="3" s="1"/>
  <c r="E105" i="3"/>
  <c r="J105" i="3" s="1"/>
  <c r="P105" i="3" s="1"/>
  <c r="R105" i="3" s="1"/>
  <c r="E145" i="3"/>
  <c r="J145" i="3" s="1"/>
  <c r="P145" i="3" s="1"/>
  <c r="R145" i="3" s="1"/>
  <c r="E177" i="3"/>
  <c r="J177" i="3" s="1"/>
  <c r="P177" i="3" s="1"/>
  <c r="R177" i="3" s="1"/>
  <c r="E201" i="3"/>
  <c r="E194" i="3"/>
  <c r="J194" i="3" s="1"/>
  <c r="P194" i="3" s="1"/>
  <c r="R194" i="3" s="1"/>
  <c r="E5" i="3"/>
  <c r="J5" i="3" s="1"/>
  <c r="P5" i="3" s="1"/>
  <c r="R5" i="3" s="1"/>
  <c r="E13" i="3"/>
  <c r="E21" i="3"/>
  <c r="J21" i="3" s="1"/>
  <c r="P21" i="3" s="1"/>
  <c r="R21" i="3" s="1"/>
  <c r="E29" i="3"/>
  <c r="J29" i="3" s="1"/>
  <c r="P29" i="3" s="1"/>
  <c r="R29" i="3" s="1"/>
  <c r="E37" i="3"/>
  <c r="J37" i="3" s="1"/>
  <c r="P37" i="3" s="1"/>
  <c r="R37" i="3" s="1"/>
  <c r="E45" i="3"/>
  <c r="J45" i="3" s="1"/>
  <c r="P45" i="3" s="1"/>
  <c r="R45" i="3" s="1"/>
  <c r="E53" i="3"/>
  <c r="J53" i="3" s="1"/>
  <c r="P53" i="3" s="1"/>
  <c r="R53" i="3" s="1"/>
  <c r="E61" i="3"/>
  <c r="J61" i="3" s="1"/>
  <c r="P61" i="3" s="1"/>
  <c r="R61" i="3" s="1"/>
  <c r="E69" i="3"/>
  <c r="E77" i="3"/>
  <c r="J77" i="3" s="1"/>
  <c r="P77" i="3" s="1"/>
  <c r="R77" i="3" s="1"/>
  <c r="E85" i="3"/>
  <c r="J85" i="3" s="1"/>
  <c r="P85" i="3" s="1"/>
  <c r="R85" i="3" s="1"/>
  <c r="E93" i="3"/>
  <c r="J93" i="3" s="1"/>
  <c r="P93" i="3" s="1"/>
  <c r="R93" i="3" s="1"/>
  <c r="E101" i="3"/>
  <c r="J101" i="3" s="1"/>
  <c r="P101" i="3" s="1"/>
  <c r="R101" i="3" s="1"/>
  <c r="E109" i="3"/>
  <c r="J109" i="3" s="1"/>
  <c r="P109" i="3" s="1"/>
  <c r="R109" i="3" s="1"/>
  <c r="E117" i="3"/>
  <c r="J117" i="3" s="1"/>
  <c r="P117" i="3" s="1"/>
  <c r="R117" i="3" s="1"/>
  <c r="E125" i="3"/>
  <c r="J125" i="3" s="1"/>
  <c r="P125" i="3" s="1"/>
  <c r="R125" i="3" s="1"/>
  <c r="E133" i="3"/>
  <c r="J133" i="3" s="1"/>
  <c r="P133" i="3" s="1"/>
  <c r="R133" i="3" s="1"/>
  <c r="E141" i="3"/>
  <c r="J141" i="3" s="1"/>
  <c r="P141" i="3" s="1"/>
  <c r="R141" i="3" s="1"/>
  <c r="E149" i="3"/>
  <c r="J149" i="3" s="1"/>
  <c r="P149" i="3" s="1"/>
  <c r="R149" i="3" s="1"/>
  <c r="E157" i="3"/>
  <c r="J157" i="3" s="1"/>
  <c r="P157" i="3" s="1"/>
  <c r="R157" i="3" s="1"/>
  <c r="E165" i="3"/>
  <c r="J165" i="3" s="1"/>
  <c r="P165" i="3" s="1"/>
  <c r="R165" i="3" s="1"/>
  <c r="E173" i="3"/>
  <c r="J173" i="3" s="1"/>
  <c r="P173" i="3" s="1"/>
  <c r="R173" i="3" s="1"/>
  <c r="E181" i="3"/>
  <c r="J181" i="3" s="1"/>
  <c r="P181" i="3" s="1"/>
  <c r="R181" i="3" s="1"/>
  <c r="E189" i="3"/>
  <c r="J189" i="3" s="1"/>
  <c r="P189" i="3" s="1"/>
  <c r="R189" i="3" s="1"/>
  <c r="E197" i="3"/>
  <c r="E32" i="3"/>
  <c r="E96" i="3"/>
  <c r="J96" i="3" s="1"/>
  <c r="P96" i="3" s="1"/>
  <c r="R96" i="3" s="1"/>
  <c r="E144" i="3"/>
  <c r="J144" i="3" s="1"/>
  <c r="P144" i="3" s="1"/>
  <c r="R144" i="3" s="1"/>
  <c r="E176" i="3"/>
  <c r="J176" i="3" s="1"/>
  <c r="P176" i="3" s="1"/>
  <c r="R176" i="3" s="1"/>
  <c r="E33" i="3"/>
  <c r="J33" i="3" s="1"/>
  <c r="P33" i="3" s="1"/>
  <c r="R33" i="3" s="1"/>
  <c r="E81" i="3"/>
  <c r="J81" i="3" s="1"/>
  <c r="P81" i="3" s="1"/>
  <c r="R81" i="3" s="1"/>
  <c r="E121" i="3"/>
  <c r="J121" i="3" s="1"/>
  <c r="P121" i="3" s="1"/>
  <c r="R121" i="3" s="1"/>
  <c r="E161" i="3"/>
  <c r="J161" i="3" s="1"/>
  <c r="P161" i="3" s="1"/>
  <c r="R161" i="3" s="1"/>
  <c r="E6" i="3"/>
  <c r="E14" i="3"/>
  <c r="J14" i="3" s="1"/>
  <c r="P14" i="3" s="1"/>
  <c r="R14" i="3" s="1"/>
  <c r="E22" i="3"/>
  <c r="J22" i="3" s="1"/>
  <c r="P22" i="3" s="1"/>
  <c r="R22" i="3" s="1"/>
  <c r="E30" i="3"/>
  <c r="E38" i="3"/>
  <c r="J38" i="3" s="1"/>
  <c r="P38" i="3" s="1"/>
  <c r="R38" i="3" s="1"/>
  <c r="E46" i="3"/>
  <c r="J46" i="3" s="1"/>
  <c r="P46" i="3" s="1"/>
  <c r="R46" i="3" s="1"/>
  <c r="E54" i="3"/>
  <c r="J54" i="3" s="1"/>
  <c r="P54" i="3" s="1"/>
  <c r="R54" i="3" s="1"/>
  <c r="E62" i="3"/>
  <c r="E70" i="3"/>
  <c r="E78" i="3"/>
  <c r="J78" i="3" s="1"/>
  <c r="P78" i="3" s="1"/>
  <c r="R78" i="3" s="1"/>
  <c r="E86" i="3"/>
  <c r="J86" i="3" s="1"/>
  <c r="P86" i="3" s="1"/>
  <c r="R86" i="3" s="1"/>
  <c r="E94" i="3"/>
  <c r="J94" i="3" s="1"/>
  <c r="P94" i="3" s="1"/>
  <c r="R94" i="3" s="1"/>
  <c r="E102" i="3"/>
  <c r="J102" i="3" s="1"/>
  <c r="P102" i="3" s="1"/>
  <c r="R102" i="3" s="1"/>
  <c r="E110" i="3"/>
  <c r="J110" i="3" s="1"/>
  <c r="P110" i="3" s="1"/>
  <c r="R110" i="3" s="1"/>
  <c r="E118" i="3"/>
  <c r="J118" i="3" s="1"/>
  <c r="P118" i="3" s="1"/>
  <c r="R118" i="3" s="1"/>
  <c r="E126" i="3"/>
  <c r="J126" i="3" s="1"/>
  <c r="P126" i="3" s="1"/>
  <c r="R126" i="3" s="1"/>
  <c r="E134" i="3"/>
  <c r="E142" i="3"/>
  <c r="J142" i="3" s="1"/>
  <c r="P142" i="3" s="1"/>
  <c r="R142" i="3" s="1"/>
  <c r="E150" i="3"/>
  <c r="J150" i="3" s="1"/>
  <c r="P150" i="3" s="1"/>
  <c r="R150" i="3" s="1"/>
  <c r="E158" i="3"/>
  <c r="J158" i="3" s="1"/>
  <c r="P158" i="3" s="1"/>
  <c r="R158" i="3" s="1"/>
  <c r="E166" i="3"/>
  <c r="J166" i="3" s="1"/>
  <c r="P166" i="3" s="1"/>
  <c r="R166" i="3" s="1"/>
  <c r="E174" i="3"/>
  <c r="J174" i="3" s="1"/>
  <c r="P174" i="3" s="1"/>
  <c r="R174" i="3" s="1"/>
  <c r="E182" i="3"/>
  <c r="J182" i="3" s="1"/>
  <c r="P182" i="3" s="1"/>
  <c r="R182" i="3" s="1"/>
  <c r="E190" i="3"/>
  <c r="J190" i="3" s="1"/>
  <c r="P190" i="3" s="1"/>
  <c r="R190" i="3" s="1"/>
  <c r="E198" i="3"/>
  <c r="E16" i="3"/>
  <c r="J16" i="3" s="1"/>
  <c r="P16" i="3" s="1"/>
  <c r="R16" i="3" s="1"/>
  <c r="E48" i="3"/>
  <c r="J48" i="3" s="1"/>
  <c r="P48" i="3" s="1"/>
  <c r="R48" i="3" s="1"/>
  <c r="E64" i="3"/>
  <c r="J64" i="3" s="1"/>
  <c r="P64" i="3" s="1"/>
  <c r="R64" i="3" s="1"/>
  <c r="E80" i="3"/>
  <c r="J80" i="3" s="1"/>
  <c r="P80" i="3" s="1"/>
  <c r="R80" i="3" s="1"/>
  <c r="E112" i="3"/>
  <c r="J112" i="3" s="1"/>
  <c r="P112" i="3" s="1"/>
  <c r="R112" i="3" s="1"/>
  <c r="E128" i="3"/>
  <c r="J128" i="3" s="1"/>
  <c r="P128" i="3" s="1"/>
  <c r="R128" i="3" s="1"/>
  <c r="E152" i="3"/>
  <c r="J152" i="3" s="1"/>
  <c r="P152" i="3" s="1"/>
  <c r="R152" i="3" s="1"/>
  <c r="E184" i="3"/>
  <c r="E25" i="3"/>
  <c r="J25" i="3" s="1"/>
  <c r="P25" i="3" s="1"/>
  <c r="R25" i="3" s="1"/>
  <c r="E41" i="3"/>
  <c r="J41" i="3" s="1"/>
  <c r="P41" i="3" s="1"/>
  <c r="R41" i="3" s="1"/>
  <c r="E57" i="3"/>
  <c r="J57" i="3" s="1"/>
  <c r="P57" i="3" s="1"/>
  <c r="R57" i="3" s="1"/>
  <c r="E89" i="3"/>
  <c r="J89" i="3" s="1"/>
  <c r="P89" i="3" s="1"/>
  <c r="R89" i="3" s="1"/>
  <c r="E113" i="3"/>
  <c r="J113" i="3" s="1"/>
  <c r="P113" i="3" s="1"/>
  <c r="R113" i="3" s="1"/>
  <c r="E137" i="3"/>
  <c r="J137" i="3" s="1"/>
  <c r="P137" i="3" s="1"/>
  <c r="R137" i="3" s="1"/>
  <c r="E169" i="3"/>
  <c r="J169" i="3" s="1"/>
  <c r="P169" i="3" s="1"/>
  <c r="R169" i="3" s="1"/>
  <c r="E193" i="3"/>
  <c r="E7" i="3"/>
  <c r="J7" i="3" s="1"/>
  <c r="P7" i="3" s="1"/>
  <c r="R7" i="3" s="1"/>
  <c r="E15" i="3"/>
  <c r="J15" i="3" s="1"/>
  <c r="P15" i="3" s="1"/>
  <c r="R15" i="3" s="1"/>
  <c r="E23" i="3"/>
  <c r="J23" i="3" s="1"/>
  <c r="P23" i="3" s="1"/>
  <c r="R23" i="3" s="1"/>
  <c r="E31" i="3"/>
  <c r="E39" i="3"/>
  <c r="J39" i="3" s="1"/>
  <c r="P39" i="3" s="1"/>
  <c r="R39" i="3" s="1"/>
  <c r="E47" i="3"/>
  <c r="J47" i="3" s="1"/>
  <c r="P47" i="3" s="1"/>
  <c r="R47" i="3" s="1"/>
  <c r="E55" i="3"/>
  <c r="J55" i="3" s="1"/>
  <c r="P55" i="3" s="1"/>
  <c r="R55" i="3" s="1"/>
  <c r="E63" i="3"/>
  <c r="E71" i="3"/>
  <c r="J71" i="3" s="1"/>
  <c r="P71" i="3" s="1"/>
  <c r="R71" i="3" s="1"/>
  <c r="E79" i="3"/>
  <c r="J79" i="3" s="1"/>
  <c r="P79" i="3" s="1"/>
  <c r="R79" i="3" s="1"/>
  <c r="E87" i="3"/>
  <c r="J87" i="3" s="1"/>
  <c r="P87" i="3" s="1"/>
  <c r="R87" i="3" s="1"/>
  <c r="E95" i="3"/>
  <c r="J95" i="3" s="1"/>
  <c r="P95" i="3" s="1"/>
  <c r="R95" i="3" s="1"/>
  <c r="E103" i="3"/>
  <c r="J103" i="3" s="1"/>
  <c r="P103" i="3" s="1"/>
  <c r="R103" i="3" s="1"/>
  <c r="E111" i="3"/>
  <c r="J111" i="3" s="1"/>
  <c r="P111" i="3" s="1"/>
  <c r="R111" i="3" s="1"/>
  <c r="E119" i="3"/>
  <c r="J119" i="3" s="1"/>
  <c r="P119" i="3" s="1"/>
  <c r="R119" i="3" s="1"/>
  <c r="E127" i="3"/>
  <c r="E135" i="3"/>
  <c r="J135" i="3" s="1"/>
  <c r="P135" i="3" s="1"/>
  <c r="R135" i="3" s="1"/>
  <c r="E143" i="3"/>
  <c r="J143" i="3" s="1"/>
  <c r="P143" i="3" s="1"/>
  <c r="R143" i="3" s="1"/>
  <c r="E151" i="3"/>
  <c r="J151" i="3" s="1"/>
  <c r="P151" i="3" s="1"/>
  <c r="R151" i="3" s="1"/>
  <c r="E159" i="3"/>
  <c r="J159" i="3" s="1"/>
  <c r="P159" i="3" s="1"/>
  <c r="R159" i="3" s="1"/>
  <c r="E167" i="3"/>
  <c r="J167" i="3" s="1"/>
  <c r="P167" i="3" s="1"/>
  <c r="R167" i="3" s="1"/>
  <c r="E175" i="3"/>
  <c r="J175" i="3" s="1"/>
  <c r="P175" i="3" s="1"/>
  <c r="R175" i="3" s="1"/>
  <c r="E183" i="3"/>
  <c r="J183" i="3" s="1"/>
  <c r="P183" i="3" s="1"/>
  <c r="R183" i="3" s="1"/>
  <c r="E191" i="3"/>
  <c r="E199" i="3"/>
  <c r="J199" i="3" s="1"/>
  <c r="P199" i="3" s="1"/>
  <c r="R199" i="3" s="1"/>
  <c r="E8" i="3"/>
  <c r="J8" i="3" s="1"/>
  <c r="P8" i="3" s="1"/>
  <c r="R8" i="3" s="1"/>
  <c r="E40" i="3"/>
  <c r="J40" i="3" s="1"/>
  <c r="P40" i="3" s="1"/>
  <c r="R40" i="3" s="1"/>
  <c r="E72" i="3"/>
  <c r="J72" i="3" s="1"/>
  <c r="P72" i="3" s="1"/>
  <c r="R72" i="3" s="1"/>
  <c r="E104" i="3"/>
  <c r="J104" i="3" s="1"/>
  <c r="P104" i="3" s="1"/>
  <c r="R104" i="3" s="1"/>
  <c r="E136" i="3"/>
  <c r="J136" i="3" s="1"/>
  <c r="P136" i="3" s="1"/>
  <c r="R136" i="3" s="1"/>
  <c r="E168" i="3"/>
  <c r="J168" i="3" s="1"/>
  <c r="P168" i="3" s="1"/>
  <c r="R168" i="3" s="1"/>
  <c r="E192" i="3"/>
  <c r="E9" i="3"/>
  <c r="J9" i="3" s="1"/>
  <c r="P9" i="3" s="1"/>
  <c r="R9" i="3" s="1"/>
  <c r="E49" i="3"/>
  <c r="J49" i="3" s="1"/>
  <c r="P49" i="3" s="1"/>
  <c r="R49" i="3" s="1"/>
  <c r="E65" i="3"/>
  <c r="J65" i="3" s="1"/>
  <c r="P65" i="3" s="1"/>
  <c r="R65" i="3" s="1"/>
  <c r="E97" i="3"/>
  <c r="J97" i="3" s="1"/>
  <c r="P97" i="3" s="1"/>
  <c r="R97" i="3" s="1"/>
  <c r="E129" i="3"/>
  <c r="J129" i="3" s="1"/>
  <c r="P129" i="3" s="1"/>
  <c r="R129" i="3" s="1"/>
  <c r="E153" i="3"/>
  <c r="J153" i="3" s="1"/>
  <c r="P153" i="3" s="1"/>
  <c r="R153" i="3" s="1"/>
  <c r="E185" i="3"/>
  <c r="J185" i="3" s="1"/>
  <c r="P185" i="3" s="1"/>
  <c r="R185" i="3" s="1"/>
  <c r="A1" i="4"/>
  <c r="D26" i="3"/>
  <c r="K26" i="3" s="1"/>
  <c r="Q26" i="3" s="1"/>
  <c r="S26" i="3" s="1"/>
  <c r="D34" i="3"/>
  <c r="K34" i="3" s="1"/>
  <c r="Q34" i="3" s="1"/>
  <c r="S34" i="3" s="1"/>
  <c r="D42" i="3"/>
  <c r="K42" i="3" s="1"/>
  <c r="Q42" i="3" s="1"/>
  <c r="S42" i="3" s="1"/>
  <c r="D50" i="3"/>
  <c r="K50" i="3" s="1"/>
  <c r="Q50" i="3" s="1"/>
  <c r="S50" i="3" s="1"/>
  <c r="D82" i="3"/>
  <c r="K82" i="3" s="1"/>
  <c r="Q82" i="3" s="1"/>
  <c r="S82" i="3" s="1"/>
  <c r="D114" i="3"/>
  <c r="K114" i="3" s="1"/>
  <c r="Q114" i="3" s="1"/>
  <c r="S114" i="3" s="1"/>
  <c r="D178" i="3"/>
  <c r="K178" i="3" s="1"/>
  <c r="Q178" i="3" s="1"/>
  <c r="S178" i="3" s="1"/>
  <c r="D187" i="3"/>
  <c r="D3" i="3"/>
  <c r="K3" i="3" s="1"/>
  <c r="Q3" i="3" s="1"/>
  <c r="S3" i="3" s="1"/>
  <c r="D11" i="3"/>
  <c r="K11" i="3" s="1"/>
  <c r="Q11" i="3" s="1"/>
  <c r="S11" i="3" s="1"/>
  <c r="D19" i="3"/>
  <c r="K19" i="3" s="1"/>
  <c r="Q19" i="3" s="1"/>
  <c r="S19" i="3" s="1"/>
  <c r="D27" i="3"/>
  <c r="D35" i="3"/>
  <c r="K35" i="3" s="1"/>
  <c r="Q35" i="3" s="1"/>
  <c r="S35" i="3" s="1"/>
  <c r="D43" i="3"/>
  <c r="K43" i="3" s="1"/>
  <c r="Q43" i="3" s="1"/>
  <c r="S43" i="3" s="1"/>
  <c r="D51" i="3"/>
  <c r="K51" i="3" s="1"/>
  <c r="Q51" i="3" s="1"/>
  <c r="S51" i="3" s="1"/>
  <c r="D59" i="3"/>
  <c r="D67" i="3"/>
  <c r="K67" i="3" s="1"/>
  <c r="Q67" i="3" s="1"/>
  <c r="S67" i="3" s="1"/>
  <c r="D75" i="3"/>
  <c r="K75" i="3" s="1"/>
  <c r="Q75" i="3" s="1"/>
  <c r="S75" i="3" s="1"/>
  <c r="D83" i="3"/>
  <c r="K83" i="3" s="1"/>
  <c r="Q83" i="3" s="1"/>
  <c r="S83" i="3" s="1"/>
  <c r="D91" i="3"/>
  <c r="K91" i="3" s="1"/>
  <c r="Q91" i="3" s="1"/>
  <c r="S91" i="3" s="1"/>
  <c r="D99" i="3"/>
  <c r="K99" i="3" s="1"/>
  <c r="Q99" i="3" s="1"/>
  <c r="S99" i="3" s="1"/>
  <c r="D107" i="3"/>
  <c r="K107" i="3" s="1"/>
  <c r="Q107" i="3" s="1"/>
  <c r="S107" i="3" s="1"/>
  <c r="D115" i="3"/>
  <c r="K115" i="3" s="1"/>
  <c r="Q115" i="3" s="1"/>
  <c r="S115" i="3" s="1"/>
  <c r="D123" i="3"/>
  <c r="D131" i="3"/>
  <c r="K131" i="3" s="1"/>
  <c r="Q131" i="3" s="1"/>
  <c r="S131" i="3" s="1"/>
  <c r="D163" i="3"/>
  <c r="K163" i="3" s="1"/>
  <c r="Q163" i="3" s="1"/>
  <c r="S163" i="3" s="1"/>
  <c r="D171" i="3"/>
  <c r="K171" i="3" s="1"/>
  <c r="Q171" i="3" s="1"/>
  <c r="S171" i="3" s="1"/>
  <c r="D4" i="3"/>
  <c r="K4" i="3" s="1"/>
  <c r="Q4" i="3" s="1"/>
  <c r="S4" i="3" s="1"/>
  <c r="D12" i="3"/>
  <c r="K12" i="3" s="1"/>
  <c r="Q12" i="3" s="1"/>
  <c r="S12" i="3" s="1"/>
  <c r="D20" i="3"/>
  <c r="K20" i="3" s="1"/>
  <c r="Q20" i="3" s="1"/>
  <c r="S20" i="3" s="1"/>
  <c r="D28" i="3"/>
  <c r="D36" i="3"/>
  <c r="D44" i="3"/>
  <c r="K44" i="3" s="1"/>
  <c r="Q44" i="3" s="1"/>
  <c r="S44" i="3" s="1"/>
  <c r="D52" i="3"/>
  <c r="K52" i="3" s="1"/>
  <c r="Q52" i="3" s="1"/>
  <c r="S52" i="3" s="1"/>
  <c r="D60" i="3"/>
  <c r="K60" i="3" s="1"/>
  <c r="Q60" i="3" s="1"/>
  <c r="S60" i="3" s="1"/>
  <c r="D68" i="3"/>
  <c r="K68" i="3" s="1"/>
  <c r="Q68" i="3" s="1"/>
  <c r="S68" i="3" s="1"/>
  <c r="D76" i="3"/>
  <c r="K76" i="3" s="1"/>
  <c r="Q76" i="3" s="1"/>
  <c r="S76" i="3" s="1"/>
  <c r="D84" i="3"/>
  <c r="K84" i="3" s="1"/>
  <c r="Q84" i="3" s="1"/>
  <c r="S84" i="3" s="1"/>
  <c r="D92" i="3"/>
  <c r="K92" i="3" s="1"/>
  <c r="Q92" i="3" s="1"/>
  <c r="S92" i="3" s="1"/>
  <c r="D100" i="3"/>
  <c r="D108" i="3"/>
  <c r="K108" i="3" s="1"/>
  <c r="Q108" i="3" s="1"/>
  <c r="S108" i="3" s="1"/>
  <c r="D116" i="3"/>
  <c r="K116" i="3" s="1"/>
  <c r="Q116" i="3" s="1"/>
  <c r="S116" i="3" s="1"/>
  <c r="D124" i="3"/>
  <c r="K124" i="3" s="1"/>
  <c r="Q124" i="3" s="1"/>
  <c r="S124" i="3" s="1"/>
  <c r="D132" i="3"/>
  <c r="K132" i="3" s="1"/>
  <c r="Q132" i="3" s="1"/>
  <c r="S132" i="3" s="1"/>
  <c r="D140" i="3"/>
  <c r="K140" i="3" s="1"/>
  <c r="Q140" i="3" s="1"/>
  <c r="S140" i="3" s="1"/>
  <c r="D148" i="3"/>
  <c r="K148" i="3" s="1"/>
  <c r="Q148" i="3" s="1"/>
  <c r="S148" i="3" s="1"/>
  <c r="D156" i="3"/>
  <c r="D164" i="3"/>
  <c r="D172" i="3"/>
  <c r="K172" i="3" s="1"/>
  <c r="Q172" i="3" s="1"/>
  <c r="S172" i="3" s="1"/>
  <c r="D180" i="3"/>
  <c r="K180" i="3" s="1"/>
  <c r="Q180" i="3" s="1"/>
  <c r="S180" i="3" s="1"/>
  <c r="D188" i="3"/>
  <c r="K188" i="3" s="1"/>
  <c r="Q188" i="3" s="1"/>
  <c r="S188" i="3" s="1"/>
  <c r="D196" i="3"/>
  <c r="K196" i="3" s="1"/>
  <c r="Q196" i="3" s="1"/>
  <c r="S196" i="3" s="1"/>
  <c r="D24" i="3"/>
  <c r="K24" i="3" s="1"/>
  <c r="Q24" i="3" s="1"/>
  <c r="S24" i="3" s="1"/>
  <c r="D40" i="3"/>
  <c r="K40" i="3" s="1"/>
  <c r="Q40" i="3" s="1"/>
  <c r="S40" i="3" s="1"/>
  <c r="D64" i="3"/>
  <c r="K64" i="3" s="1"/>
  <c r="Q64" i="3" s="1"/>
  <c r="S64" i="3" s="1"/>
  <c r="D96" i="3"/>
  <c r="K96" i="3" s="1"/>
  <c r="Q96" i="3" s="1"/>
  <c r="S96" i="3" s="1"/>
  <c r="D128" i="3"/>
  <c r="K128" i="3" s="1"/>
  <c r="Q128" i="3" s="1"/>
  <c r="S128" i="3" s="1"/>
  <c r="D160" i="3"/>
  <c r="K160" i="3" s="1"/>
  <c r="Q160" i="3" s="1"/>
  <c r="S160" i="3" s="1"/>
  <c r="D192" i="3"/>
  <c r="K192" i="3" s="1"/>
  <c r="Q192" i="3" s="1"/>
  <c r="S192" i="3" s="1"/>
  <c r="D33" i="3"/>
  <c r="K33" i="3" s="1"/>
  <c r="Q33" i="3" s="1"/>
  <c r="S33" i="3" s="1"/>
  <c r="D65" i="3"/>
  <c r="K65" i="3" s="1"/>
  <c r="Q65" i="3" s="1"/>
  <c r="S65" i="3" s="1"/>
  <c r="D97" i="3"/>
  <c r="K97" i="3" s="1"/>
  <c r="Q97" i="3" s="1"/>
  <c r="S97" i="3" s="1"/>
  <c r="D129" i="3"/>
  <c r="K129" i="3" s="1"/>
  <c r="Q129" i="3" s="1"/>
  <c r="S129" i="3" s="1"/>
  <c r="D161" i="3"/>
  <c r="D193" i="3"/>
  <c r="K193" i="3" s="1"/>
  <c r="Q193" i="3" s="1"/>
  <c r="S193" i="3" s="1"/>
  <c r="D74" i="3"/>
  <c r="K74" i="3" s="1"/>
  <c r="Q74" i="3" s="1"/>
  <c r="S74" i="3" s="1"/>
  <c r="D130" i="3"/>
  <c r="K130" i="3" s="1"/>
  <c r="Q130" i="3" s="1"/>
  <c r="S130" i="3" s="1"/>
  <c r="D170" i="3"/>
  <c r="K170" i="3" s="1"/>
  <c r="Q170" i="3" s="1"/>
  <c r="S170" i="3" s="1"/>
  <c r="D139" i="3"/>
  <c r="K139" i="3" s="1"/>
  <c r="Q139" i="3" s="1"/>
  <c r="S139" i="3" s="1"/>
  <c r="D195" i="3"/>
  <c r="K195" i="3" s="1"/>
  <c r="Q195" i="3" s="1"/>
  <c r="S195" i="3" s="1"/>
  <c r="D5" i="3"/>
  <c r="K5" i="3" s="1"/>
  <c r="Q5" i="3" s="1"/>
  <c r="S5" i="3" s="1"/>
  <c r="D13" i="3"/>
  <c r="D21" i="3"/>
  <c r="K21" i="3" s="1"/>
  <c r="Q21" i="3" s="1"/>
  <c r="S21" i="3" s="1"/>
  <c r="D29" i="3"/>
  <c r="K29" i="3" s="1"/>
  <c r="Q29" i="3" s="1"/>
  <c r="S29" i="3" s="1"/>
  <c r="D37" i="3"/>
  <c r="K37" i="3" s="1"/>
  <c r="Q37" i="3" s="1"/>
  <c r="S37" i="3" s="1"/>
  <c r="D45" i="3"/>
  <c r="K45" i="3" s="1"/>
  <c r="Q45" i="3" s="1"/>
  <c r="S45" i="3" s="1"/>
  <c r="D53" i="3"/>
  <c r="K53" i="3" s="1"/>
  <c r="Q53" i="3" s="1"/>
  <c r="S53" i="3" s="1"/>
  <c r="D61" i="3"/>
  <c r="K61" i="3" s="1"/>
  <c r="Q61" i="3" s="1"/>
  <c r="S61" i="3" s="1"/>
  <c r="D69" i="3"/>
  <c r="K69" i="3" s="1"/>
  <c r="Q69" i="3" s="1"/>
  <c r="S69" i="3" s="1"/>
  <c r="D77" i="3"/>
  <c r="D85" i="3"/>
  <c r="K85" i="3" s="1"/>
  <c r="Q85" i="3" s="1"/>
  <c r="S85" i="3" s="1"/>
  <c r="D93" i="3"/>
  <c r="K93" i="3" s="1"/>
  <c r="Q93" i="3" s="1"/>
  <c r="S93" i="3" s="1"/>
  <c r="D101" i="3"/>
  <c r="K101" i="3" s="1"/>
  <c r="Q101" i="3" s="1"/>
  <c r="S101" i="3" s="1"/>
  <c r="D109" i="3"/>
  <c r="K109" i="3" s="1"/>
  <c r="Q109" i="3" s="1"/>
  <c r="S109" i="3" s="1"/>
  <c r="D117" i="3"/>
  <c r="K117" i="3" s="1"/>
  <c r="Q117" i="3" s="1"/>
  <c r="S117" i="3" s="1"/>
  <c r="D125" i="3"/>
  <c r="K125" i="3" s="1"/>
  <c r="Q125" i="3" s="1"/>
  <c r="S125" i="3" s="1"/>
  <c r="D133" i="3"/>
  <c r="K133" i="3" s="1"/>
  <c r="Q133" i="3" s="1"/>
  <c r="S133" i="3" s="1"/>
  <c r="D141" i="3"/>
  <c r="D149" i="3"/>
  <c r="K149" i="3" s="1"/>
  <c r="Q149" i="3" s="1"/>
  <c r="S149" i="3" s="1"/>
  <c r="D157" i="3"/>
  <c r="K157" i="3" s="1"/>
  <c r="Q157" i="3" s="1"/>
  <c r="S157" i="3" s="1"/>
  <c r="D165" i="3"/>
  <c r="K165" i="3" s="1"/>
  <c r="Q165" i="3" s="1"/>
  <c r="S165" i="3" s="1"/>
  <c r="D173" i="3"/>
  <c r="K173" i="3" s="1"/>
  <c r="Q173" i="3" s="1"/>
  <c r="S173" i="3" s="1"/>
  <c r="D181" i="3"/>
  <c r="K181" i="3" s="1"/>
  <c r="Q181" i="3" s="1"/>
  <c r="S181" i="3" s="1"/>
  <c r="D189" i="3"/>
  <c r="K189" i="3" s="1"/>
  <c r="Q189" i="3" s="1"/>
  <c r="S189" i="3" s="1"/>
  <c r="D197" i="3"/>
  <c r="K197" i="3" s="1"/>
  <c r="Q197" i="3" s="1"/>
  <c r="S197" i="3" s="1"/>
  <c r="D32" i="3"/>
  <c r="D72" i="3"/>
  <c r="K72" i="3" s="1"/>
  <c r="Q72" i="3" s="1"/>
  <c r="S72" i="3" s="1"/>
  <c r="D104" i="3"/>
  <c r="K104" i="3" s="1"/>
  <c r="Q104" i="3" s="1"/>
  <c r="S104" i="3" s="1"/>
  <c r="D144" i="3"/>
  <c r="K144" i="3" s="1"/>
  <c r="Q144" i="3" s="1"/>
  <c r="S144" i="3" s="1"/>
  <c r="D176" i="3"/>
  <c r="K176" i="3" s="1"/>
  <c r="Q176" i="3" s="1"/>
  <c r="S176" i="3" s="1"/>
  <c r="D200" i="3"/>
  <c r="K200" i="3" s="1"/>
  <c r="Q200" i="3" s="1"/>
  <c r="S200" i="3" s="1"/>
  <c r="D9" i="3"/>
  <c r="K9" i="3" s="1"/>
  <c r="Q9" i="3" s="1"/>
  <c r="S9" i="3" s="1"/>
  <c r="D41" i="3"/>
  <c r="K41" i="3" s="1"/>
  <c r="Q41" i="3" s="1"/>
  <c r="S41" i="3" s="1"/>
  <c r="D73" i="3"/>
  <c r="D105" i="3"/>
  <c r="K105" i="3" s="1"/>
  <c r="Q105" i="3" s="1"/>
  <c r="S105" i="3" s="1"/>
  <c r="D137" i="3"/>
  <c r="K137" i="3" s="1"/>
  <c r="Q137" i="3" s="1"/>
  <c r="S137" i="3" s="1"/>
  <c r="D169" i="3"/>
  <c r="K169" i="3" s="1"/>
  <c r="Q169" i="3" s="1"/>
  <c r="S169" i="3" s="1"/>
  <c r="D201" i="3"/>
  <c r="D18" i="3"/>
  <c r="K18" i="3" s="1"/>
  <c r="Q18" i="3" s="1"/>
  <c r="S18" i="3" s="1"/>
  <c r="D90" i="3"/>
  <c r="K90" i="3" s="1"/>
  <c r="Q90" i="3" s="1"/>
  <c r="S90" i="3" s="1"/>
  <c r="D122" i="3"/>
  <c r="K122" i="3" s="1"/>
  <c r="Q122" i="3" s="1"/>
  <c r="S122" i="3" s="1"/>
  <c r="D186" i="3"/>
  <c r="D155" i="3"/>
  <c r="K155" i="3" s="1"/>
  <c r="Q155" i="3" s="1"/>
  <c r="S155" i="3" s="1"/>
  <c r="D6" i="3"/>
  <c r="K6" i="3" s="1"/>
  <c r="Q6" i="3" s="1"/>
  <c r="S6" i="3" s="1"/>
  <c r="D14" i="3"/>
  <c r="K14" i="3" s="1"/>
  <c r="Q14" i="3" s="1"/>
  <c r="S14" i="3" s="1"/>
  <c r="D22" i="3"/>
  <c r="K22" i="3" s="1"/>
  <c r="Q22" i="3" s="1"/>
  <c r="S22" i="3" s="1"/>
  <c r="D30" i="3"/>
  <c r="D38" i="3"/>
  <c r="K38" i="3" s="1"/>
  <c r="Q38" i="3" s="1"/>
  <c r="S38" i="3" s="1"/>
  <c r="D46" i="3"/>
  <c r="K46" i="3" s="1"/>
  <c r="Q46" i="3" s="1"/>
  <c r="S46" i="3" s="1"/>
  <c r="D54" i="3"/>
  <c r="D62" i="3"/>
  <c r="K62" i="3" s="1"/>
  <c r="Q62" i="3" s="1"/>
  <c r="S62" i="3" s="1"/>
  <c r="D70" i="3"/>
  <c r="K70" i="3" s="1"/>
  <c r="Q70" i="3" s="1"/>
  <c r="S70" i="3" s="1"/>
  <c r="D78" i="3"/>
  <c r="K78" i="3" s="1"/>
  <c r="Q78" i="3" s="1"/>
  <c r="S78" i="3" s="1"/>
  <c r="D86" i="3"/>
  <c r="K86" i="3" s="1"/>
  <c r="Q86" i="3" s="1"/>
  <c r="S86" i="3" s="1"/>
  <c r="D94" i="3"/>
  <c r="K94" i="3" s="1"/>
  <c r="Q94" i="3" s="1"/>
  <c r="S94" i="3" s="1"/>
  <c r="D102" i="3"/>
  <c r="K102" i="3" s="1"/>
  <c r="Q102" i="3" s="1"/>
  <c r="S102" i="3" s="1"/>
  <c r="D110" i="3"/>
  <c r="K110" i="3" s="1"/>
  <c r="Q110" i="3" s="1"/>
  <c r="S110" i="3" s="1"/>
  <c r="D118" i="3"/>
  <c r="K118" i="3" s="1"/>
  <c r="Q118" i="3" s="1"/>
  <c r="S118" i="3" s="1"/>
  <c r="D126" i="3"/>
  <c r="K126" i="3" s="1"/>
  <c r="Q126" i="3" s="1"/>
  <c r="S126" i="3" s="1"/>
  <c r="D134" i="3"/>
  <c r="K134" i="3" s="1"/>
  <c r="Q134" i="3" s="1"/>
  <c r="S134" i="3" s="1"/>
  <c r="D142" i="3"/>
  <c r="K142" i="3" s="1"/>
  <c r="Q142" i="3" s="1"/>
  <c r="S142" i="3" s="1"/>
  <c r="D150" i="3"/>
  <c r="K150" i="3" s="1"/>
  <c r="Q150" i="3" s="1"/>
  <c r="S150" i="3" s="1"/>
  <c r="D158" i="3"/>
  <c r="K158" i="3" s="1"/>
  <c r="Q158" i="3" s="1"/>
  <c r="S158" i="3" s="1"/>
  <c r="D166" i="3"/>
  <c r="K166" i="3" s="1"/>
  <c r="Q166" i="3" s="1"/>
  <c r="S166" i="3" s="1"/>
  <c r="D174" i="3"/>
  <c r="K174" i="3" s="1"/>
  <c r="Q174" i="3" s="1"/>
  <c r="S174" i="3" s="1"/>
  <c r="D182" i="3"/>
  <c r="K182" i="3" s="1"/>
  <c r="Q182" i="3" s="1"/>
  <c r="S182" i="3" s="1"/>
  <c r="D190" i="3"/>
  <c r="K190" i="3" s="1"/>
  <c r="Q190" i="3" s="1"/>
  <c r="S190" i="3" s="1"/>
  <c r="D198" i="3"/>
  <c r="K198" i="3" s="1"/>
  <c r="Q198" i="3" s="1"/>
  <c r="S198" i="3" s="1"/>
  <c r="D8" i="3"/>
  <c r="K8" i="3" s="1"/>
  <c r="Q8" i="3" s="1"/>
  <c r="S8" i="3" s="1"/>
  <c r="D56" i="3"/>
  <c r="K56" i="3" s="1"/>
  <c r="Q56" i="3" s="1"/>
  <c r="S56" i="3" s="1"/>
  <c r="D88" i="3"/>
  <c r="K88" i="3" s="1"/>
  <c r="Q88" i="3" s="1"/>
  <c r="S88" i="3" s="1"/>
  <c r="D120" i="3"/>
  <c r="K120" i="3" s="1"/>
  <c r="Q120" i="3" s="1"/>
  <c r="S120" i="3" s="1"/>
  <c r="D152" i="3"/>
  <c r="K152" i="3" s="1"/>
  <c r="Q152" i="3" s="1"/>
  <c r="S152" i="3" s="1"/>
  <c r="D184" i="3"/>
  <c r="D25" i="3"/>
  <c r="K25" i="3" s="1"/>
  <c r="Q25" i="3" s="1"/>
  <c r="S25" i="3" s="1"/>
  <c r="D49" i="3"/>
  <c r="K49" i="3" s="1"/>
  <c r="Q49" i="3" s="1"/>
  <c r="S49" i="3" s="1"/>
  <c r="D89" i="3"/>
  <c r="K89" i="3" s="1"/>
  <c r="Q89" i="3" s="1"/>
  <c r="S89" i="3" s="1"/>
  <c r="D113" i="3"/>
  <c r="K113" i="3" s="1"/>
  <c r="Q113" i="3" s="1"/>
  <c r="S113" i="3" s="1"/>
  <c r="D145" i="3"/>
  <c r="K145" i="3" s="1"/>
  <c r="Q145" i="3" s="1"/>
  <c r="S145" i="3" s="1"/>
  <c r="D177" i="3"/>
  <c r="K177" i="3" s="1"/>
  <c r="Q177" i="3" s="1"/>
  <c r="S177" i="3" s="1"/>
  <c r="D10" i="3"/>
  <c r="K10" i="3" s="1"/>
  <c r="Q10" i="3" s="1"/>
  <c r="S10" i="3" s="1"/>
  <c r="D58" i="3"/>
  <c r="D98" i="3"/>
  <c r="K98" i="3" s="1"/>
  <c r="Q98" i="3" s="1"/>
  <c r="S98" i="3" s="1"/>
  <c r="D146" i="3"/>
  <c r="K146" i="3" s="1"/>
  <c r="Q146" i="3" s="1"/>
  <c r="S146" i="3" s="1"/>
  <c r="D162" i="3"/>
  <c r="K162" i="3" s="1"/>
  <c r="Q162" i="3" s="1"/>
  <c r="S162" i="3" s="1"/>
  <c r="D7" i="3"/>
  <c r="K7" i="3" s="1"/>
  <c r="Q7" i="3" s="1"/>
  <c r="S7" i="3" s="1"/>
  <c r="D15" i="3"/>
  <c r="K15" i="3" s="1"/>
  <c r="Q15" i="3" s="1"/>
  <c r="S15" i="3" s="1"/>
  <c r="D23" i="3"/>
  <c r="K23" i="3" s="1"/>
  <c r="Q23" i="3" s="1"/>
  <c r="S23" i="3" s="1"/>
  <c r="D31" i="3"/>
  <c r="D39" i="3"/>
  <c r="D47" i="3"/>
  <c r="K47" i="3" s="1"/>
  <c r="Q47" i="3" s="1"/>
  <c r="S47" i="3" s="1"/>
  <c r="D55" i="3"/>
  <c r="K55" i="3" s="1"/>
  <c r="Q55" i="3" s="1"/>
  <c r="S55" i="3" s="1"/>
  <c r="D63" i="3"/>
  <c r="K63" i="3" s="1"/>
  <c r="Q63" i="3" s="1"/>
  <c r="S63" i="3" s="1"/>
  <c r="D71" i="3"/>
  <c r="K71" i="3" s="1"/>
  <c r="Q71" i="3" s="1"/>
  <c r="S71" i="3" s="1"/>
  <c r="D79" i="3"/>
  <c r="K79" i="3" s="1"/>
  <c r="Q79" i="3" s="1"/>
  <c r="S79" i="3" s="1"/>
  <c r="D87" i="3"/>
  <c r="K87" i="3" s="1"/>
  <c r="Q87" i="3" s="1"/>
  <c r="S87" i="3" s="1"/>
  <c r="D95" i="3"/>
  <c r="K95" i="3" s="1"/>
  <c r="Q95" i="3" s="1"/>
  <c r="S95" i="3" s="1"/>
  <c r="D103" i="3"/>
  <c r="K103" i="3" s="1"/>
  <c r="Q103" i="3" s="1"/>
  <c r="S103" i="3" s="1"/>
  <c r="D111" i="3"/>
  <c r="K111" i="3" s="1"/>
  <c r="Q111" i="3" s="1"/>
  <c r="S111" i="3" s="1"/>
  <c r="D119" i="3"/>
  <c r="K119" i="3" s="1"/>
  <c r="Q119" i="3" s="1"/>
  <c r="S119" i="3" s="1"/>
  <c r="D127" i="3"/>
  <c r="K127" i="3" s="1"/>
  <c r="Q127" i="3" s="1"/>
  <c r="S127" i="3" s="1"/>
  <c r="D135" i="3"/>
  <c r="K135" i="3" s="1"/>
  <c r="Q135" i="3" s="1"/>
  <c r="S135" i="3" s="1"/>
  <c r="D143" i="3"/>
  <c r="K143" i="3" s="1"/>
  <c r="Q143" i="3" s="1"/>
  <c r="S143" i="3" s="1"/>
  <c r="D151" i="3"/>
  <c r="K151" i="3" s="1"/>
  <c r="Q151" i="3" s="1"/>
  <c r="S151" i="3" s="1"/>
  <c r="D159" i="3"/>
  <c r="K159" i="3" s="1"/>
  <c r="Q159" i="3" s="1"/>
  <c r="S159" i="3" s="1"/>
  <c r="D167" i="3"/>
  <c r="D175" i="3"/>
  <c r="K175" i="3" s="1"/>
  <c r="Q175" i="3" s="1"/>
  <c r="S175" i="3" s="1"/>
  <c r="D183" i="3"/>
  <c r="K183" i="3" s="1"/>
  <c r="Q183" i="3" s="1"/>
  <c r="S183" i="3" s="1"/>
  <c r="D191" i="3"/>
  <c r="K191" i="3" s="1"/>
  <c r="Q191" i="3" s="1"/>
  <c r="S191" i="3" s="1"/>
  <c r="D199" i="3"/>
  <c r="K199" i="3" s="1"/>
  <c r="Q199" i="3" s="1"/>
  <c r="S199" i="3" s="1"/>
  <c r="D16" i="3"/>
  <c r="K16" i="3" s="1"/>
  <c r="Q16" i="3" s="1"/>
  <c r="S16" i="3" s="1"/>
  <c r="D48" i="3"/>
  <c r="K48" i="3" s="1"/>
  <c r="Q48" i="3" s="1"/>
  <c r="S48" i="3" s="1"/>
  <c r="D80" i="3"/>
  <c r="K80" i="3" s="1"/>
  <c r="Q80" i="3" s="1"/>
  <c r="S80" i="3" s="1"/>
  <c r="D112" i="3"/>
  <c r="D136" i="3"/>
  <c r="K136" i="3" s="1"/>
  <c r="Q136" i="3" s="1"/>
  <c r="S136" i="3" s="1"/>
  <c r="D168" i="3"/>
  <c r="K168" i="3" s="1"/>
  <c r="Q168" i="3" s="1"/>
  <c r="S168" i="3" s="1"/>
  <c r="D17" i="3"/>
  <c r="K17" i="3" s="1"/>
  <c r="Q17" i="3" s="1"/>
  <c r="S17" i="3" s="1"/>
  <c r="D57" i="3"/>
  <c r="K57" i="3" s="1"/>
  <c r="Q57" i="3" s="1"/>
  <c r="S57" i="3" s="1"/>
  <c r="D81" i="3"/>
  <c r="K81" i="3" s="1"/>
  <c r="Q81" i="3" s="1"/>
  <c r="S81" i="3" s="1"/>
  <c r="D121" i="3"/>
  <c r="K121" i="3" s="1"/>
  <c r="Q121" i="3" s="1"/>
  <c r="S121" i="3" s="1"/>
  <c r="D153" i="3"/>
  <c r="K153" i="3" s="1"/>
  <c r="Q153" i="3" s="1"/>
  <c r="S153" i="3" s="1"/>
  <c r="D185" i="3"/>
  <c r="D2" i="3"/>
  <c r="K2" i="3" s="1"/>
  <c r="Q2" i="3" s="1"/>
  <c r="S2" i="3" s="1"/>
  <c r="D66" i="3"/>
  <c r="K66" i="3" s="1"/>
  <c r="Q66" i="3" s="1"/>
  <c r="S66" i="3" s="1"/>
  <c r="D106" i="3"/>
  <c r="K106" i="3" s="1"/>
  <c r="Q106" i="3" s="1"/>
  <c r="S106" i="3" s="1"/>
  <c r="D138" i="3"/>
  <c r="K138" i="3" s="1"/>
  <c r="Q138" i="3" s="1"/>
  <c r="S138" i="3" s="1"/>
  <c r="D154" i="3"/>
  <c r="K154" i="3" s="1"/>
  <c r="Q154" i="3" s="1"/>
  <c r="S154" i="3" s="1"/>
  <c r="D194" i="3"/>
  <c r="K194" i="3" s="1"/>
  <c r="Q194" i="3" s="1"/>
  <c r="S194" i="3" s="1"/>
  <c r="D147" i="3"/>
  <c r="K147" i="3" s="1"/>
  <c r="Q147" i="3" s="1"/>
  <c r="S147" i="3" s="1"/>
  <c r="D179" i="3"/>
  <c r="J2" i="3"/>
  <c r="P2" i="3" s="1"/>
  <c r="R2" i="3" s="1"/>
  <c r="J66" i="3"/>
  <c r="P66" i="3" s="1"/>
  <c r="R66" i="3" s="1"/>
  <c r="J130" i="3"/>
  <c r="P130" i="3" s="1"/>
  <c r="R130" i="3" s="1"/>
  <c r="J192" i="3"/>
  <c r="P192" i="3" s="1"/>
  <c r="R192" i="3" s="1"/>
  <c r="J193" i="3"/>
  <c r="P193" i="3" s="1"/>
  <c r="R193" i="3" s="1"/>
  <c r="J63" i="3"/>
  <c r="P63" i="3" s="1"/>
  <c r="R63" i="3" s="1"/>
  <c r="J127" i="3"/>
  <c r="P127" i="3" s="1"/>
  <c r="R127" i="3" s="1"/>
  <c r="J191" i="3"/>
  <c r="P191" i="3" s="1"/>
  <c r="R191" i="3" s="1"/>
  <c r="J62" i="3"/>
  <c r="P62" i="3" s="1"/>
  <c r="R62" i="3" s="1"/>
  <c r="J60" i="3"/>
  <c r="P60" i="3" s="1"/>
  <c r="R60" i="3" s="1"/>
  <c r="J188" i="3"/>
  <c r="P188" i="3" s="1"/>
  <c r="R188" i="3" s="1"/>
  <c r="J6" i="3"/>
  <c r="P6" i="3" s="1"/>
  <c r="R6" i="3" s="1"/>
  <c r="J70" i="3"/>
  <c r="P70" i="3" s="1"/>
  <c r="R70" i="3" s="1"/>
  <c r="J134" i="3"/>
  <c r="P134" i="3" s="1"/>
  <c r="R134" i="3" s="1"/>
  <c r="J198" i="3"/>
  <c r="P198" i="3" s="1"/>
  <c r="R198" i="3" s="1"/>
  <c r="J195" i="3"/>
  <c r="P195" i="3" s="1"/>
  <c r="R195" i="3" s="1"/>
  <c r="J122" i="3"/>
  <c r="P122" i="3" s="1"/>
  <c r="R122" i="3" s="1"/>
  <c r="J59" i="3"/>
  <c r="P59" i="3" s="1"/>
  <c r="R59" i="3" s="1"/>
  <c r="J123" i="3"/>
  <c r="P123" i="3" s="1"/>
  <c r="R123" i="3" s="1"/>
  <c r="J187" i="3"/>
  <c r="P187" i="3" s="1"/>
  <c r="R187" i="3" s="1"/>
  <c r="J184" i="3"/>
  <c r="P184" i="3" s="1"/>
  <c r="R184" i="3" s="1"/>
  <c r="J3" i="3"/>
  <c r="P3" i="3" s="1"/>
  <c r="R3" i="3" s="1"/>
  <c r="J67" i="3"/>
  <c r="P67" i="3" s="1"/>
  <c r="R67" i="3" s="1"/>
  <c r="J131" i="3"/>
  <c r="P131" i="3" s="1"/>
  <c r="R131" i="3" s="1"/>
  <c r="J69" i="3"/>
  <c r="P69" i="3" s="1"/>
  <c r="R69" i="3" s="1"/>
  <c r="J197" i="3"/>
  <c r="P197" i="3" s="1"/>
  <c r="R197" i="3" s="1"/>
  <c r="J13" i="3"/>
  <c r="P13" i="3" s="1"/>
  <c r="R13" i="3" s="1"/>
  <c r="J200" i="3"/>
  <c r="P200" i="3" s="1"/>
  <c r="R200" i="3" s="1"/>
  <c r="K161" i="3"/>
  <c r="Q161" i="3" s="1"/>
  <c r="S161" i="3" s="1"/>
  <c r="K156" i="3"/>
  <c r="Q156" i="3" s="1"/>
  <c r="S156" i="3" s="1"/>
  <c r="K123" i="3"/>
  <c r="Q123" i="3" s="1"/>
  <c r="S123" i="3" s="1"/>
  <c r="K39" i="3"/>
  <c r="Q39" i="3" s="1"/>
  <c r="S39" i="3" s="1"/>
  <c r="K100" i="3"/>
  <c r="Q100" i="3" s="1"/>
  <c r="S100" i="3" s="1"/>
  <c r="K36" i="3"/>
  <c r="Q36" i="3" s="1"/>
  <c r="S36" i="3" s="1"/>
  <c r="K186" i="3"/>
  <c r="Q186" i="3" s="1"/>
  <c r="S186" i="3" s="1"/>
  <c r="K73" i="3"/>
  <c r="Q73" i="3" s="1"/>
  <c r="S73" i="3" s="1"/>
  <c r="K141" i="3"/>
  <c r="Q141" i="3" s="1"/>
  <c r="S141" i="3" s="1"/>
  <c r="K77" i="3"/>
  <c r="Q77" i="3" s="1"/>
  <c r="S77" i="3" s="1"/>
  <c r="K13" i="3"/>
  <c r="Q13" i="3" s="1"/>
  <c r="S13" i="3" s="1"/>
  <c r="K187" i="3"/>
  <c r="Q187" i="3" s="1"/>
  <c r="S187" i="3" s="1"/>
  <c r="K58" i="3"/>
  <c r="Q58" i="3" s="1"/>
  <c r="S58" i="3" s="1"/>
  <c r="K59" i="3"/>
  <c r="Q59" i="3" s="1"/>
  <c r="S59" i="3" s="1"/>
  <c r="K167" i="3"/>
  <c r="Q167" i="3" s="1"/>
  <c r="S167" i="3" s="1"/>
  <c r="K185" i="3"/>
  <c r="Q185" i="3" s="1"/>
  <c r="S185" i="3" s="1"/>
  <c r="K184" i="3"/>
  <c r="Q184" i="3" s="1"/>
  <c r="S184" i="3" s="1"/>
  <c r="K164" i="3"/>
  <c r="Q164" i="3" s="1"/>
  <c r="S164" i="3" s="1"/>
  <c r="K54" i="3"/>
  <c r="Q54" i="3" s="1"/>
  <c r="S54" i="3" s="1"/>
  <c r="K179" i="3"/>
  <c r="Q179" i="3" s="1"/>
  <c r="S179" i="3" s="1"/>
  <c r="K112" i="3"/>
  <c r="Q112" i="3" s="1"/>
  <c r="S112" i="3" s="1"/>
  <c r="I201" i="3"/>
  <c r="H201" i="3"/>
  <c r="K201" i="3" l="1"/>
  <c r="Q201" i="3" s="1"/>
  <c r="S201" i="3" s="1"/>
  <c r="J201" i="3"/>
  <c r="P201" i="3" s="1"/>
  <c r="R201" i="3" s="1"/>
  <c r="O27" i="4"/>
  <c r="O31" i="4" l="1"/>
  <c r="I27" i="3"/>
  <c r="K27" i="3" s="1"/>
  <c r="Q27" i="3" s="1"/>
  <c r="S27" i="3" s="1"/>
  <c r="H27" i="3"/>
  <c r="J27" i="3" s="1"/>
  <c r="P27" i="3" s="1"/>
  <c r="R27" i="3" s="1"/>
  <c r="O28" i="4"/>
  <c r="H28" i="3" l="1"/>
  <c r="J28" i="3" s="1"/>
  <c r="P28" i="3" s="1"/>
  <c r="R28" i="3" s="1"/>
  <c r="I28" i="3"/>
  <c r="K28" i="3" s="1"/>
  <c r="Q28" i="3" s="1"/>
  <c r="S28" i="3" s="1"/>
  <c r="H31" i="3"/>
  <c r="J31" i="3" s="1"/>
  <c r="P31" i="3" s="1"/>
  <c r="R31" i="3" s="1"/>
  <c r="I31" i="3"/>
  <c r="K31" i="3" s="1"/>
  <c r="Q31" i="3" s="1"/>
  <c r="S31" i="3" s="1"/>
  <c r="O30" i="4"/>
  <c r="I30" i="3" s="1"/>
  <c r="K30" i="3" s="1"/>
  <c r="Q30" i="3" s="1"/>
  <c r="S30" i="3" s="1"/>
  <c r="O32" i="4"/>
  <c r="H32" i="3" s="1"/>
  <c r="J32" i="3" s="1"/>
  <c r="P32" i="3" s="1"/>
  <c r="R32" i="3" s="1"/>
  <c r="I32" i="3" l="1"/>
  <c r="K32" i="3" s="1"/>
  <c r="Q32" i="3" s="1"/>
  <c r="S32" i="3" s="1"/>
  <c r="H30" i="3"/>
  <c r="J30" i="3" s="1"/>
  <c r="P30" i="3" s="1"/>
  <c r="R30" i="3" s="1"/>
  <c r="F87" i="3" l="1"/>
  <c r="T87" i="3" s="1"/>
  <c r="V87" i="3" s="1"/>
  <c r="G87" i="3"/>
  <c r="U87" i="3" s="1"/>
  <c r="W87" i="3" s="1"/>
  <c r="F173" i="3"/>
  <c r="T173" i="3" s="1"/>
  <c r="V173" i="3" s="1"/>
  <c r="G173" i="3"/>
  <c r="U173" i="3" s="1"/>
  <c r="W173" i="3" s="1"/>
  <c r="F65" i="3"/>
  <c r="T65" i="3" s="1"/>
  <c r="V65" i="3" s="1"/>
  <c r="G65" i="3"/>
  <c r="U65" i="3" s="1"/>
  <c r="W65" i="3" s="1"/>
  <c r="G167" i="3"/>
  <c r="U167" i="3" s="1"/>
  <c r="W167" i="3" s="1"/>
  <c r="F167" i="3"/>
  <c r="T167" i="3" s="1"/>
  <c r="V167" i="3" s="1"/>
  <c r="F188" i="3"/>
  <c r="T188" i="3" s="1"/>
  <c r="V188" i="3" s="1"/>
  <c r="G188" i="3"/>
  <c r="U188" i="3" s="1"/>
  <c r="W188" i="3" s="1"/>
  <c r="F143" i="3"/>
  <c r="T143" i="3" s="1"/>
  <c r="V143" i="3" s="1"/>
  <c r="G143" i="3"/>
  <c r="U143" i="3" s="1"/>
  <c r="W143" i="3" s="1"/>
  <c r="F194" i="3"/>
  <c r="T194" i="3" s="1"/>
  <c r="V194" i="3" s="1"/>
  <c r="G194" i="3"/>
  <c r="U194" i="3" s="1"/>
  <c r="W194" i="3" s="1"/>
  <c r="G45" i="3"/>
  <c r="U45" i="3" s="1"/>
  <c r="W45" i="3" s="1"/>
  <c r="F45" i="3"/>
  <c r="T45" i="3" s="1"/>
  <c r="V45" i="3" s="1"/>
  <c r="G107" i="3"/>
  <c r="U107" i="3" s="1"/>
  <c r="W107" i="3" s="1"/>
  <c r="F107" i="3"/>
  <c r="T107" i="3" s="1"/>
  <c r="V107" i="3" s="1"/>
  <c r="F177" i="3"/>
  <c r="T177" i="3" s="1"/>
  <c r="V177" i="3" s="1"/>
  <c r="G177" i="3"/>
  <c r="U177" i="3" s="1"/>
  <c r="W177" i="3" s="1"/>
  <c r="G31" i="3"/>
  <c r="U31" i="3" s="1"/>
  <c r="W31" i="3" s="1"/>
  <c r="F31" i="3"/>
  <c r="T31" i="3" s="1"/>
  <c r="V31" i="3" s="1"/>
  <c r="F15" i="3"/>
  <c r="T15" i="3" s="1"/>
  <c r="V15" i="3" s="1"/>
  <c r="G15" i="3"/>
  <c r="U15" i="3" s="1"/>
  <c r="W15" i="3" s="1"/>
  <c r="G140" i="3"/>
  <c r="U140" i="3" s="1"/>
  <c r="W140" i="3" s="1"/>
  <c r="F140" i="3"/>
  <c r="T140" i="3" s="1"/>
  <c r="V140" i="3" s="1"/>
  <c r="G19" i="3"/>
  <c r="U19" i="3" s="1"/>
  <c r="W19" i="3" s="1"/>
  <c r="F19" i="3"/>
  <c r="T19" i="3" s="1"/>
  <c r="V19" i="3" s="1"/>
  <c r="G119" i="3"/>
  <c r="U119" i="3" s="1"/>
  <c r="W119" i="3" s="1"/>
  <c r="F119" i="3"/>
  <c r="T119" i="3" s="1"/>
  <c r="V119" i="3" s="1"/>
  <c r="G170" i="3"/>
  <c r="U170" i="3" s="1"/>
  <c r="W170" i="3" s="1"/>
  <c r="F170" i="3"/>
  <c r="T170" i="3" s="1"/>
  <c r="V170" i="3" s="1"/>
  <c r="G125" i="3"/>
  <c r="U125" i="3" s="1"/>
  <c r="W125" i="3" s="1"/>
  <c r="F125" i="3"/>
  <c r="T125" i="3" s="1"/>
  <c r="V125" i="3" s="1"/>
  <c r="G20" i="3"/>
  <c r="U20" i="3" s="1"/>
  <c r="W20" i="3" s="1"/>
  <c r="F20" i="3"/>
  <c r="T20" i="3" s="1"/>
  <c r="V20" i="3" s="1"/>
  <c r="G163" i="3"/>
  <c r="U163" i="3" s="1"/>
  <c r="W163" i="3" s="1"/>
  <c r="F163" i="3"/>
  <c r="T163" i="3" s="1"/>
  <c r="V163" i="3" s="1"/>
  <c r="F178" i="3"/>
  <c r="T178" i="3" s="1"/>
  <c r="V178" i="3" s="1"/>
  <c r="G178" i="3"/>
  <c r="U178" i="3" s="1"/>
  <c r="W178" i="3" s="1"/>
  <c r="G169" i="3"/>
  <c r="U169" i="3" s="1"/>
  <c r="W169" i="3" s="1"/>
  <c r="F169" i="3"/>
  <c r="T169" i="3" s="1"/>
  <c r="V169" i="3" s="1"/>
  <c r="G147" i="3"/>
  <c r="U147" i="3" s="1"/>
  <c r="W147" i="3" s="1"/>
  <c r="F147" i="3"/>
  <c r="T147" i="3" s="1"/>
  <c r="V147" i="3" s="1"/>
  <c r="F71" i="3"/>
  <c r="T71" i="3" s="1"/>
  <c r="V71" i="3" s="1"/>
  <c r="G71" i="3"/>
  <c r="U71" i="3" s="1"/>
  <c r="W71" i="3" s="1"/>
  <c r="F96" i="3"/>
  <c r="T96" i="3" s="1"/>
  <c r="V96" i="3" s="1"/>
  <c r="G96" i="3"/>
  <c r="U96" i="3" s="1"/>
  <c r="W96" i="3" s="1"/>
  <c r="G6" i="3"/>
  <c r="U6" i="3" s="1"/>
  <c r="W6" i="3" s="1"/>
  <c r="F6" i="3"/>
  <c r="T6" i="3" s="1"/>
  <c r="V6" i="3" s="1"/>
  <c r="G10" i="3"/>
  <c r="U10" i="3" s="1"/>
  <c r="W10" i="3" s="1"/>
  <c r="F10" i="3"/>
  <c r="T10" i="3" s="1"/>
  <c r="V10" i="3" s="1"/>
  <c r="F193" i="3"/>
  <c r="T193" i="3" s="1"/>
  <c r="V193" i="3" s="1"/>
  <c r="G193" i="3"/>
  <c r="U193" i="3" s="1"/>
  <c r="W193" i="3" s="1"/>
  <c r="F172" i="3"/>
  <c r="T172" i="3" s="1"/>
  <c r="V172" i="3" s="1"/>
  <c r="G172" i="3"/>
  <c r="U172" i="3" s="1"/>
  <c r="W172" i="3" s="1"/>
  <c r="G69" i="3"/>
  <c r="U69" i="3" s="1"/>
  <c r="W69" i="3" s="1"/>
  <c r="F69" i="3"/>
  <c r="T69" i="3" s="1"/>
  <c r="V69" i="3" s="1"/>
  <c r="G85" i="3"/>
  <c r="U85" i="3" s="1"/>
  <c r="W85" i="3" s="1"/>
  <c r="F85" i="3"/>
  <c r="T85" i="3" s="1"/>
  <c r="V85" i="3" s="1"/>
  <c r="G201" i="3"/>
  <c r="U201" i="3" s="1"/>
  <c r="W201" i="3" s="1"/>
  <c r="F201" i="3"/>
  <c r="T201" i="3" s="1"/>
  <c r="V201" i="3" s="1"/>
  <c r="F132" i="3"/>
  <c r="T132" i="3" s="1"/>
  <c r="V132" i="3" s="1"/>
  <c r="G132" i="3"/>
  <c r="U132" i="3" s="1"/>
  <c r="W132" i="3" s="1"/>
  <c r="F105" i="3"/>
  <c r="T105" i="3" s="1"/>
  <c r="V105" i="3" s="1"/>
  <c r="G105" i="3"/>
  <c r="U105" i="3" s="1"/>
  <c r="W105" i="3" s="1"/>
  <c r="G152" i="3"/>
  <c r="U152" i="3" s="1"/>
  <c r="W152" i="3" s="1"/>
  <c r="F152" i="3"/>
  <c r="T152" i="3" s="1"/>
  <c r="V152" i="3" s="1"/>
  <c r="F148" i="3"/>
  <c r="T148" i="3" s="1"/>
  <c r="V148" i="3" s="1"/>
  <c r="G148" i="3"/>
  <c r="U148" i="3" s="1"/>
  <c r="W148" i="3" s="1"/>
  <c r="G59" i="3"/>
  <c r="U59" i="3" s="1"/>
  <c r="W59" i="3" s="1"/>
  <c r="F59" i="3"/>
  <c r="T59" i="3" s="1"/>
  <c r="V59" i="3" s="1"/>
  <c r="G18" i="3"/>
  <c r="U18" i="3" s="1"/>
  <c r="W18" i="3" s="1"/>
  <c r="F18" i="3"/>
  <c r="T18" i="3" s="1"/>
  <c r="V18" i="3" s="1"/>
  <c r="G73" i="3"/>
  <c r="U73" i="3" s="1"/>
  <c r="W73" i="3" s="1"/>
  <c r="F73" i="3"/>
  <c r="T73" i="3" s="1"/>
  <c r="V73" i="3" s="1"/>
  <c r="G117" i="3"/>
  <c r="U117" i="3" s="1"/>
  <c r="W117" i="3" s="1"/>
  <c r="F117" i="3"/>
  <c r="T117" i="3" s="1"/>
  <c r="V117" i="3" s="1"/>
  <c r="F89" i="3"/>
  <c r="T89" i="3" s="1"/>
  <c r="V89" i="3" s="1"/>
  <c r="G89" i="3"/>
  <c r="U89" i="3" s="1"/>
  <c r="W89" i="3" s="1"/>
  <c r="F57" i="3"/>
  <c r="T57" i="3" s="1"/>
  <c r="V57" i="3" s="1"/>
  <c r="G57" i="3"/>
  <c r="U57" i="3" s="1"/>
  <c r="W57" i="3" s="1"/>
  <c r="G101" i="3"/>
  <c r="U101" i="3" s="1"/>
  <c r="W101" i="3" s="1"/>
  <c r="F101" i="3"/>
  <c r="T101" i="3" s="1"/>
  <c r="V101" i="3" s="1"/>
  <c r="G165" i="3"/>
  <c r="U165" i="3" s="1"/>
  <c r="W165" i="3" s="1"/>
  <c r="F165" i="3"/>
  <c r="T165" i="3" s="1"/>
  <c r="V165" i="3" s="1"/>
  <c r="G150" i="3"/>
  <c r="U150" i="3" s="1"/>
  <c r="W150" i="3" s="1"/>
  <c r="F150" i="3"/>
  <c r="T150" i="3" s="1"/>
  <c r="V150" i="3" s="1"/>
  <c r="F156" i="3"/>
  <c r="T156" i="3" s="1"/>
  <c r="V156" i="3" s="1"/>
  <c r="G156" i="3"/>
  <c r="U156" i="3" s="1"/>
  <c r="W156" i="3" s="1"/>
  <c r="G44" i="3"/>
  <c r="U44" i="3" s="1"/>
  <c r="W44" i="3" s="1"/>
  <c r="F44" i="3"/>
  <c r="T44" i="3" s="1"/>
  <c r="V44" i="3" s="1"/>
  <c r="F43" i="3"/>
  <c r="T43" i="3" s="1"/>
  <c r="V43" i="3" s="1"/>
  <c r="G43" i="3"/>
  <c r="U43" i="3" s="1"/>
  <c r="W43" i="3" s="1"/>
  <c r="F149" i="3"/>
  <c r="T149" i="3" s="1"/>
  <c r="V149" i="3" s="1"/>
  <c r="G149" i="3"/>
  <c r="U149" i="3" s="1"/>
  <c r="W149" i="3" s="1"/>
  <c r="F26" i="3"/>
  <c r="T26" i="3" s="1"/>
  <c r="V26" i="3" s="1"/>
  <c r="G26" i="3"/>
  <c r="U26" i="3" s="1"/>
  <c r="W26" i="3" s="1"/>
  <c r="G160" i="3"/>
  <c r="U160" i="3" s="1"/>
  <c r="W160" i="3" s="1"/>
  <c r="F160" i="3"/>
  <c r="T160" i="3" s="1"/>
  <c r="V160" i="3" s="1"/>
  <c r="G25" i="3"/>
  <c r="U25" i="3" s="1"/>
  <c r="W25" i="3" s="1"/>
  <c r="F25" i="3"/>
  <c r="T25" i="3" s="1"/>
  <c r="V25" i="3" s="1"/>
  <c r="F35" i="3"/>
  <c r="T35" i="3" s="1"/>
  <c r="V35" i="3" s="1"/>
  <c r="G35" i="3"/>
  <c r="U35" i="3" s="1"/>
  <c r="W35" i="3" s="1"/>
  <c r="F13" i="3"/>
  <c r="T13" i="3" s="1"/>
  <c r="V13" i="3" s="1"/>
  <c r="G13" i="3"/>
  <c r="U13" i="3" s="1"/>
  <c r="W13" i="3" s="1"/>
  <c r="G49" i="3"/>
  <c r="U49" i="3" s="1"/>
  <c r="W49" i="3" s="1"/>
  <c r="F49" i="3"/>
  <c r="T49" i="3" s="1"/>
  <c r="V49" i="3" s="1"/>
  <c r="F180" i="3"/>
  <c r="T180" i="3" s="1"/>
  <c r="V180" i="3" s="1"/>
  <c r="G180" i="3"/>
  <c r="U180" i="3" s="1"/>
  <c r="W180" i="3" s="1"/>
  <c r="F82" i="3"/>
  <c r="T82" i="3" s="1"/>
  <c r="V82" i="3" s="1"/>
  <c r="G82" i="3"/>
  <c r="U82" i="3" s="1"/>
  <c r="W82" i="3" s="1"/>
  <c r="F116" i="3"/>
  <c r="T116" i="3" s="1"/>
  <c r="V116" i="3" s="1"/>
  <c r="G116" i="3"/>
  <c r="U116" i="3" s="1"/>
  <c r="W116" i="3" s="1"/>
  <c r="F141" i="3"/>
  <c r="T141" i="3" s="1"/>
  <c r="V141" i="3" s="1"/>
  <c r="G141" i="3"/>
  <c r="U141" i="3" s="1"/>
  <c r="W141" i="3" s="1"/>
  <c r="F29" i="3"/>
  <c r="T29" i="3" s="1"/>
  <c r="V29" i="3" s="1"/>
  <c r="G29" i="3"/>
  <c r="U29" i="3" s="1"/>
  <c r="W29" i="3" s="1"/>
  <c r="F192" i="3"/>
  <c r="T192" i="3" s="1"/>
  <c r="V192" i="3" s="1"/>
  <c r="G192" i="3"/>
  <c r="U192" i="3" s="1"/>
  <c r="W192" i="3" s="1"/>
  <c r="G22" i="3"/>
  <c r="U22" i="3" s="1"/>
  <c r="W22" i="3" s="1"/>
  <c r="F22" i="3"/>
  <c r="T22" i="3" s="1"/>
  <c r="V22" i="3" s="1"/>
  <c r="F67" i="3"/>
  <c r="T67" i="3" s="1"/>
  <c r="V67" i="3" s="1"/>
  <c r="G67" i="3"/>
  <c r="U67" i="3" s="1"/>
  <c r="W67" i="3" s="1"/>
  <c r="F11" i="3"/>
  <c r="T11" i="3" s="1"/>
  <c r="V11" i="3" s="1"/>
  <c r="G11" i="3"/>
  <c r="U11" i="3" s="1"/>
  <c r="W11" i="3" s="1"/>
  <c r="F93" i="3"/>
  <c r="T93" i="3" s="1"/>
  <c r="V93" i="3" s="1"/>
  <c r="G93" i="3"/>
  <c r="U93" i="3" s="1"/>
  <c r="W93" i="3" s="1"/>
  <c r="F7" i="3"/>
  <c r="T7" i="3" s="1"/>
  <c r="V7" i="3" s="1"/>
  <c r="G7" i="3"/>
  <c r="U7" i="3" s="1"/>
  <c r="W7" i="3" s="1"/>
  <c r="F130" i="3"/>
  <c r="T130" i="3" s="1"/>
  <c r="V130" i="3" s="1"/>
  <c r="G130" i="3"/>
  <c r="U130" i="3" s="1"/>
  <c r="W130" i="3" s="1"/>
  <c r="G72" i="3"/>
  <c r="U72" i="3" s="1"/>
  <c r="W72" i="3" s="1"/>
  <c r="F72" i="3"/>
  <c r="T72" i="3" s="1"/>
  <c r="V72" i="3" s="1"/>
  <c r="G3" i="3"/>
  <c r="U3" i="3" s="1"/>
  <c r="W3" i="3" s="1"/>
  <c r="F3" i="3"/>
  <c r="T3" i="3" s="1"/>
  <c r="V3" i="3" s="1"/>
  <c r="F78" i="3"/>
  <c r="T78" i="3" s="1"/>
  <c r="V78" i="3" s="1"/>
  <c r="G78" i="3"/>
  <c r="U78" i="3" s="1"/>
  <c r="W78" i="3" s="1"/>
  <c r="F126" i="3"/>
  <c r="T126" i="3" s="1"/>
  <c r="V126" i="3" s="1"/>
  <c r="G126" i="3"/>
  <c r="U126" i="3" s="1"/>
  <c r="W126" i="3" s="1"/>
  <c r="G50" i="3"/>
  <c r="U50" i="3" s="1"/>
  <c r="W50" i="3" s="1"/>
  <c r="F50" i="3"/>
  <c r="T50" i="3" s="1"/>
  <c r="V50" i="3" s="1"/>
  <c r="G30" i="3"/>
  <c r="U30" i="3" s="1"/>
  <c r="W30" i="3" s="1"/>
  <c r="F30" i="3"/>
  <c r="T30" i="3" s="1"/>
  <c r="V30" i="3" s="1"/>
  <c r="G199" i="3"/>
  <c r="U199" i="3" s="1"/>
  <c r="W199" i="3" s="1"/>
  <c r="F199" i="3"/>
  <c r="T199" i="3" s="1"/>
  <c r="V199" i="3" s="1"/>
  <c r="G114" i="3"/>
  <c r="U114" i="3" s="1"/>
  <c r="W114" i="3" s="1"/>
  <c r="F114" i="3"/>
  <c r="T114" i="3" s="1"/>
  <c r="V114" i="3" s="1"/>
  <c r="F76" i="3"/>
  <c r="T76" i="3" s="1"/>
  <c r="V76" i="3" s="1"/>
  <c r="G76" i="3"/>
  <c r="U76" i="3" s="1"/>
  <c r="W76" i="3" s="1"/>
  <c r="F51" i="3"/>
  <c r="T51" i="3" s="1"/>
  <c r="V51" i="3" s="1"/>
  <c r="G51" i="3"/>
  <c r="U51" i="3" s="1"/>
  <c r="W51" i="3" s="1"/>
  <c r="F185" i="3"/>
  <c r="T185" i="3" s="1"/>
  <c r="V185" i="3" s="1"/>
  <c r="G185" i="3"/>
  <c r="U185" i="3" s="1"/>
  <c r="W185" i="3" s="1"/>
  <c r="F176" i="3"/>
  <c r="T176" i="3" s="1"/>
  <c r="V176" i="3" s="1"/>
  <c r="G176" i="3"/>
  <c r="U176" i="3" s="1"/>
  <c r="W176" i="3" s="1"/>
  <c r="F95" i="3"/>
  <c r="T95" i="3" s="1"/>
  <c r="V95" i="3" s="1"/>
  <c r="G95" i="3"/>
  <c r="U95" i="3" s="1"/>
  <c r="W95" i="3" s="1"/>
  <c r="F158" i="3"/>
  <c r="T158" i="3" s="1"/>
  <c r="V158" i="3" s="1"/>
  <c r="G158" i="3"/>
  <c r="U158" i="3" s="1"/>
  <c r="W158" i="3" s="1"/>
  <c r="F2" i="3"/>
  <c r="T2" i="3" s="1"/>
  <c r="G2" i="3"/>
  <c r="U2" i="3" s="1"/>
  <c r="G138" i="3"/>
  <c r="U138" i="3" s="1"/>
  <c r="W138" i="3" s="1"/>
  <c r="F138" i="3"/>
  <c r="T138" i="3" s="1"/>
  <c r="V138" i="3" s="1"/>
  <c r="F121" i="3"/>
  <c r="T121" i="3" s="1"/>
  <c r="V121" i="3" s="1"/>
  <c r="G121" i="3"/>
  <c r="U121" i="3" s="1"/>
  <c r="W121" i="3" s="1"/>
  <c r="F55" i="3"/>
  <c r="T55" i="3" s="1"/>
  <c r="V55" i="3" s="1"/>
  <c r="G55" i="3"/>
  <c r="U55" i="3" s="1"/>
  <c r="W55" i="3" s="1"/>
  <c r="F103" i="3"/>
  <c r="T103" i="3" s="1"/>
  <c r="V103" i="3" s="1"/>
  <c r="G103" i="3"/>
  <c r="U103" i="3" s="1"/>
  <c r="W103" i="3" s="1"/>
  <c r="F189" i="3"/>
  <c r="T189" i="3" s="1"/>
  <c r="V189" i="3" s="1"/>
  <c r="G189" i="3"/>
  <c r="U189" i="3" s="1"/>
  <c r="W189" i="3" s="1"/>
  <c r="F53" i="3"/>
  <c r="T53" i="3" s="1"/>
  <c r="V53" i="3" s="1"/>
  <c r="G53" i="3"/>
  <c r="U53" i="3" s="1"/>
  <c r="W53" i="3" s="1"/>
  <c r="G58" i="3"/>
  <c r="U58" i="3" s="1"/>
  <c r="W58" i="3" s="1"/>
  <c r="F58" i="3"/>
  <c r="T58" i="3" s="1"/>
  <c r="V58" i="3" s="1"/>
  <c r="F14" i="3"/>
  <c r="T14" i="3" s="1"/>
  <c r="V14" i="3" s="1"/>
  <c r="G14" i="3"/>
  <c r="U14" i="3" s="1"/>
  <c r="W14" i="3" s="1"/>
  <c r="F98" i="3"/>
  <c r="T98" i="3" s="1"/>
  <c r="V98" i="3" s="1"/>
  <c r="G98" i="3"/>
  <c r="U98" i="3" s="1"/>
  <c r="W98" i="3" s="1"/>
  <c r="G144" i="3"/>
  <c r="U144" i="3" s="1"/>
  <c r="W144" i="3" s="1"/>
  <c r="F144" i="3"/>
  <c r="T144" i="3" s="1"/>
  <c r="V144" i="3" s="1"/>
  <c r="F81" i="3"/>
  <c r="T81" i="3" s="1"/>
  <c r="V81" i="3" s="1"/>
  <c r="G81" i="3"/>
  <c r="U81" i="3" s="1"/>
  <c r="W81" i="3" s="1"/>
  <c r="G40" i="3"/>
  <c r="U40" i="3" s="1"/>
  <c r="W40" i="3" s="1"/>
  <c r="F40" i="3"/>
  <c r="T40" i="3" s="1"/>
  <c r="V40" i="3" s="1"/>
  <c r="G4" i="3"/>
  <c r="U4" i="3" s="1"/>
  <c r="W4" i="3" s="1"/>
  <c r="F4" i="3"/>
  <c r="T4" i="3" s="1"/>
  <c r="V4" i="3" s="1"/>
  <c r="G139" i="3"/>
  <c r="U139" i="3" s="1"/>
  <c r="W139" i="3" s="1"/>
  <c r="F139" i="3"/>
  <c r="T139" i="3" s="1"/>
  <c r="V139" i="3" s="1"/>
  <c r="B39" i="7"/>
  <c r="C39" i="7"/>
  <c r="F166" i="3"/>
  <c r="T166" i="3" s="1"/>
  <c r="V166" i="3" s="1"/>
  <c r="G166" i="3"/>
  <c r="U166" i="3" s="1"/>
  <c r="W166" i="3" s="1"/>
  <c r="F42" i="3"/>
  <c r="T42" i="3" s="1"/>
  <c r="V42" i="3" s="1"/>
  <c r="G42" i="3"/>
  <c r="U42" i="3" s="1"/>
  <c r="W42" i="3" s="1"/>
  <c r="G17" i="3"/>
  <c r="U17" i="3" s="1"/>
  <c r="W17" i="3" s="1"/>
  <c r="F17" i="3"/>
  <c r="T17" i="3" s="1"/>
  <c r="V17" i="3" s="1"/>
  <c r="F92" i="3"/>
  <c r="T92" i="3" s="1"/>
  <c r="V92" i="3" s="1"/>
  <c r="G92" i="3"/>
  <c r="U92" i="3" s="1"/>
  <c r="W92" i="3" s="1"/>
  <c r="F142" i="3"/>
  <c r="T142" i="3" s="1"/>
  <c r="V142" i="3" s="1"/>
  <c r="G142" i="3"/>
  <c r="U142" i="3" s="1"/>
  <c r="W142" i="3" s="1"/>
  <c r="G157" i="3"/>
  <c r="U157" i="3" s="1"/>
  <c r="W157" i="3" s="1"/>
  <c r="F157" i="3"/>
  <c r="T157" i="3" s="1"/>
  <c r="V157" i="3" s="1"/>
  <c r="G115" i="3"/>
  <c r="U115" i="3" s="1"/>
  <c r="W115" i="3" s="1"/>
  <c r="F115" i="3"/>
  <c r="T115" i="3" s="1"/>
  <c r="V115" i="3" s="1"/>
  <c r="G86" i="3"/>
  <c r="U86" i="3" s="1"/>
  <c r="W86" i="3" s="1"/>
  <c r="F86" i="3"/>
  <c r="T86" i="3" s="1"/>
  <c r="V86" i="3" s="1"/>
  <c r="G16" i="3"/>
  <c r="U16" i="3" s="1"/>
  <c r="W16" i="3" s="1"/>
  <c r="F16" i="3"/>
  <c r="T16" i="3" s="1"/>
  <c r="V16" i="3" s="1"/>
  <c r="G184" i="3"/>
  <c r="U184" i="3" s="1"/>
  <c r="W184" i="3" s="1"/>
  <c r="F184" i="3"/>
  <c r="T184" i="3" s="1"/>
  <c r="V184" i="3" s="1"/>
  <c r="G64" i="3"/>
  <c r="U64" i="3" s="1"/>
  <c r="W64" i="3" s="1"/>
  <c r="F64" i="3"/>
  <c r="T64" i="3" s="1"/>
  <c r="V64" i="3" s="1"/>
  <c r="G151" i="3"/>
  <c r="U151" i="3" s="1"/>
  <c r="W151" i="3" s="1"/>
  <c r="F151" i="3"/>
  <c r="T151" i="3" s="1"/>
  <c r="V151" i="3" s="1"/>
  <c r="G128" i="3"/>
  <c r="U128" i="3" s="1"/>
  <c r="W128" i="3" s="1"/>
  <c r="F128" i="3"/>
  <c r="T128" i="3" s="1"/>
  <c r="V128" i="3" s="1"/>
  <c r="G28" i="3"/>
  <c r="U28" i="3" s="1"/>
  <c r="W28" i="3" s="1"/>
  <c r="F28" i="3"/>
  <c r="T28" i="3" s="1"/>
  <c r="V28" i="3" s="1"/>
  <c r="F37" i="3"/>
  <c r="T37" i="3" s="1"/>
  <c r="V37" i="3" s="1"/>
  <c r="G37" i="3"/>
  <c r="U37" i="3" s="1"/>
  <c r="W37" i="3" s="1"/>
  <c r="F127" i="3"/>
  <c r="T127" i="3" s="1"/>
  <c r="V127" i="3" s="1"/>
  <c r="G127" i="3"/>
  <c r="U127" i="3" s="1"/>
  <c r="W127" i="3" s="1"/>
  <c r="G145" i="3"/>
  <c r="U145" i="3" s="1"/>
  <c r="W145" i="3" s="1"/>
  <c r="F145" i="3"/>
  <c r="T145" i="3" s="1"/>
  <c r="V145" i="3" s="1"/>
  <c r="F62" i="3"/>
  <c r="T62" i="3" s="1"/>
  <c r="V62" i="3" s="1"/>
  <c r="G62" i="3"/>
  <c r="U62" i="3" s="1"/>
  <c r="W62" i="3" s="1"/>
  <c r="G190" i="3"/>
  <c r="U190" i="3" s="1"/>
  <c r="W190" i="3" s="1"/>
  <c r="F190" i="3"/>
  <c r="T190" i="3" s="1"/>
  <c r="V190" i="3" s="1"/>
  <c r="G200" i="3"/>
  <c r="U200" i="3" s="1"/>
  <c r="W200" i="3" s="1"/>
  <c r="F200" i="3"/>
  <c r="T200" i="3" s="1"/>
  <c r="V200" i="3" s="1"/>
  <c r="F83" i="3"/>
  <c r="T83" i="3" s="1"/>
  <c r="V83" i="3" s="1"/>
  <c r="G83" i="3"/>
  <c r="U83" i="3" s="1"/>
  <c r="W83" i="3" s="1"/>
  <c r="G32" i="3"/>
  <c r="U32" i="3" s="1"/>
  <c r="W32" i="3" s="1"/>
  <c r="F32" i="3"/>
  <c r="T32" i="3" s="1"/>
  <c r="V32" i="3" s="1"/>
  <c r="F171" i="3"/>
  <c r="T171" i="3" s="1"/>
  <c r="V171" i="3" s="1"/>
  <c r="G171" i="3"/>
  <c r="U171" i="3" s="1"/>
  <c r="W171" i="3" s="1"/>
  <c r="G54" i="3"/>
  <c r="U54" i="3" s="1"/>
  <c r="W54" i="3" s="1"/>
  <c r="F54" i="3"/>
  <c r="T54" i="3" s="1"/>
  <c r="V54" i="3" s="1"/>
  <c r="F47" i="3"/>
  <c r="T47" i="3" s="1"/>
  <c r="V47" i="3" s="1"/>
  <c r="G47" i="3"/>
  <c r="U47" i="3" s="1"/>
  <c r="W47" i="3" s="1"/>
  <c r="G106" i="3"/>
  <c r="U106" i="3" s="1"/>
  <c r="W106" i="3" s="1"/>
  <c r="F106" i="3"/>
  <c r="T106" i="3" s="1"/>
  <c r="V106" i="3" s="1"/>
  <c r="F108" i="3"/>
  <c r="T108" i="3" s="1"/>
  <c r="V108" i="3" s="1"/>
  <c r="G108" i="3"/>
  <c r="U108" i="3" s="1"/>
  <c r="W108" i="3" s="1"/>
  <c r="G129" i="3"/>
  <c r="U129" i="3" s="1"/>
  <c r="W129" i="3" s="1"/>
  <c r="F129" i="3"/>
  <c r="T129" i="3" s="1"/>
  <c r="V129" i="3" s="1"/>
  <c r="F33" i="3"/>
  <c r="T33" i="3" s="1"/>
  <c r="V33" i="3" s="1"/>
  <c r="G33" i="3"/>
  <c r="U33" i="3" s="1"/>
  <c r="W33" i="3" s="1"/>
  <c r="G110" i="3"/>
  <c r="U110" i="3" s="1"/>
  <c r="W110" i="3" s="1"/>
  <c r="F110" i="3"/>
  <c r="T110" i="3" s="1"/>
  <c r="V110" i="3" s="1"/>
  <c r="G120" i="3"/>
  <c r="U120" i="3" s="1"/>
  <c r="W120" i="3" s="1"/>
  <c r="F120" i="3"/>
  <c r="T120" i="3" s="1"/>
  <c r="V120" i="3" s="1"/>
  <c r="F5" i="3"/>
  <c r="T5" i="3" s="1"/>
  <c r="V5" i="3" s="1"/>
  <c r="G5" i="3"/>
  <c r="U5" i="3" s="1"/>
  <c r="W5" i="3" s="1"/>
  <c r="F74" i="3"/>
  <c r="T74" i="3" s="1"/>
  <c r="V74" i="3" s="1"/>
  <c r="G74" i="3"/>
  <c r="U74" i="3" s="1"/>
  <c r="W74" i="3" s="1"/>
  <c r="G94" i="3"/>
  <c r="U94" i="3" s="1"/>
  <c r="W94" i="3" s="1"/>
  <c r="F94" i="3"/>
  <c r="T94" i="3" s="1"/>
  <c r="V94" i="3" s="1"/>
  <c r="F174" i="3"/>
  <c r="T174" i="3" s="1"/>
  <c r="V174" i="3" s="1"/>
  <c r="G174" i="3"/>
  <c r="U174" i="3" s="1"/>
  <c r="W174" i="3" s="1"/>
  <c r="G79" i="3"/>
  <c r="U79" i="3" s="1"/>
  <c r="W79" i="3" s="1"/>
  <c r="F79" i="3"/>
  <c r="T79" i="3" s="1"/>
  <c r="V79" i="3" s="1"/>
  <c r="G113" i="3"/>
  <c r="U113" i="3" s="1"/>
  <c r="W113" i="3" s="1"/>
  <c r="F113" i="3"/>
  <c r="T113" i="3" s="1"/>
  <c r="V113" i="3" s="1"/>
  <c r="G164" i="3"/>
  <c r="U164" i="3" s="1"/>
  <c r="W164" i="3" s="1"/>
  <c r="F164" i="3"/>
  <c r="T164" i="3" s="1"/>
  <c r="V164" i="3" s="1"/>
  <c r="F183" i="3"/>
  <c r="T183" i="3" s="1"/>
  <c r="V183" i="3" s="1"/>
  <c r="G183" i="3"/>
  <c r="U183" i="3" s="1"/>
  <c r="W183" i="3" s="1"/>
  <c r="F118" i="3"/>
  <c r="T118" i="3" s="1"/>
  <c r="V118" i="3" s="1"/>
  <c r="G118" i="3"/>
  <c r="U118" i="3" s="1"/>
  <c r="W118" i="3" s="1"/>
  <c r="G8" i="3"/>
  <c r="U8" i="3" s="1"/>
  <c r="W8" i="3" s="1"/>
  <c r="F8" i="3"/>
  <c r="T8" i="3" s="1"/>
  <c r="V8" i="3" s="1"/>
  <c r="F133" i="3"/>
  <c r="T133" i="3" s="1"/>
  <c r="V133" i="3" s="1"/>
  <c r="G133" i="3"/>
  <c r="U133" i="3" s="1"/>
  <c r="W133" i="3" s="1"/>
  <c r="F84" i="3"/>
  <c r="T84" i="3" s="1"/>
  <c r="V84" i="3" s="1"/>
  <c r="G84" i="3"/>
  <c r="U84" i="3" s="1"/>
  <c r="W84" i="3" s="1"/>
  <c r="G186" i="3"/>
  <c r="U186" i="3" s="1"/>
  <c r="W186" i="3" s="1"/>
  <c r="F186" i="3"/>
  <c r="T186" i="3" s="1"/>
  <c r="V186" i="3" s="1"/>
  <c r="F91" i="3"/>
  <c r="T91" i="3" s="1"/>
  <c r="V91" i="3" s="1"/>
  <c r="G91" i="3"/>
  <c r="U91" i="3" s="1"/>
  <c r="W91" i="3" s="1"/>
  <c r="G23" i="3"/>
  <c r="U23" i="3" s="1"/>
  <c r="W23" i="3" s="1"/>
  <c r="F23" i="3"/>
  <c r="T23" i="3" s="1"/>
  <c r="V23" i="3" s="1"/>
  <c r="G77" i="3"/>
  <c r="U77" i="3" s="1"/>
  <c r="W77" i="3" s="1"/>
  <c r="F77" i="3"/>
  <c r="T77" i="3" s="1"/>
  <c r="V77" i="3" s="1"/>
  <c r="G123" i="3"/>
  <c r="U123" i="3" s="1"/>
  <c r="W123" i="3" s="1"/>
  <c r="F123" i="3"/>
  <c r="T123" i="3" s="1"/>
  <c r="V123" i="3" s="1"/>
  <c r="F112" i="3"/>
  <c r="T112" i="3" s="1"/>
  <c r="V112" i="3" s="1"/>
  <c r="G112" i="3"/>
  <c r="U112" i="3" s="1"/>
  <c r="W112" i="3" s="1"/>
  <c r="F124" i="3"/>
  <c r="T124" i="3" s="1"/>
  <c r="V124" i="3" s="1"/>
  <c r="G124" i="3"/>
  <c r="U124" i="3" s="1"/>
  <c r="W124" i="3" s="1"/>
  <c r="G12" i="3"/>
  <c r="U12" i="3" s="1"/>
  <c r="W12" i="3" s="1"/>
  <c r="F12" i="3"/>
  <c r="T12" i="3" s="1"/>
  <c r="V12" i="3" s="1"/>
  <c r="F100" i="3"/>
  <c r="T100" i="3" s="1"/>
  <c r="V100" i="3" s="1"/>
  <c r="G100" i="3"/>
  <c r="U100" i="3" s="1"/>
  <c r="W100" i="3" s="1"/>
  <c r="G137" i="3"/>
  <c r="U137" i="3" s="1"/>
  <c r="W137" i="3" s="1"/>
  <c r="F137" i="3"/>
  <c r="T137" i="3" s="1"/>
  <c r="V137" i="3" s="1"/>
  <c r="G48" i="3"/>
  <c r="U48" i="3" s="1"/>
  <c r="W48" i="3" s="1"/>
  <c r="F48" i="3"/>
  <c r="T48" i="3" s="1"/>
  <c r="V48" i="3" s="1"/>
  <c r="G21" i="3"/>
  <c r="U21" i="3" s="1"/>
  <c r="W21" i="3" s="1"/>
  <c r="F21" i="3"/>
  <c r="T21" i="3" s="1"/>
  <c r="V21" i="3" s="1"/>
  <c r="G175" i="3"/>
  <c r="U175" i="3" s="1"/>
  <c r="W175" i="3" s="1"/>
  <c r="F175" i="3"/>
  <c r="T175" i="3" s="1"/>
  <c r="V175" i="3" s="1"/>
  <c r="F134" i="3"/>
  <c r="T134" i="3" s="1"/>
  <c r="V134" i="3" s="1"/>
  <c r="G134" i="3"/>
  <c r="U134" i="3" s="1"/>
  <c r="W134" i="3" s="1"/>
  <c r="F39" i="3"/>
  <c r="T39" i="3" s="1"/>
  <c r="V39" i="3" s="1"/>
  <c r="G39" i="3"/>
  <c r="U39" i="3" s="1"/>
  <c r="W39" i="3" s="1"/>
  <c r="F122" i="3"/>
  <c r="T122" i="3" s="1"/>
  <c r="V122" i="3" s="1"/>
  <c r="G122" i="3"/>
  <c r="U122" i="3" s="1"/>
  <c r="W122" i="3" s="1"/>
  <c r="G60" i="3"/>
  <c r="U60" i="3" s="1"/>
  <c r="W60" i="3" s="1"/>
  <c r="F60" i="3"/>
  <c r="T60" i="3" s="1"/>
  <c r="V60" i="3" s="1"/>
  <c r="F187" i="3"/>
  <c r="T187" i="3" s="1"/>
  <c r="V187" i="3" s="1"/>
  <c r="G187" i="3"/>
  <c r="U187" i="3" s="1"/>
  <c r="W187" i="3" s="1"/>
  <c r="G88" i="3"/>
  <c r="U88" i="3" s="1"/>
  <c r="W88" i="3" s="1"/>
  <c r="F88" i="3"/>
  <c r="T88" i="3" s="1"/>
  <c r="V88" i="3" s="1"/>
  <c r="F9" i="3"/>
  <c r="T9" i="3" s="1"/>
  <c r="V9" i="3" s="1"/>
  <c r="G9" i="3"/>
  <c r="U9" i="3" s="1"/>
  <c r="W9" i="3" s="1"/>
  <c r="F34" i="3"/>
  <c r="T34" i="3" s="1"/>
  <c r="V34" i="3" s="1"/>
  <c r="G34" i="3"/>
  <c r="U34" i="3" s="1"/>
  <c r="W34" i="3" s="1"/>
  <c r="F90" i="3"/>
  <c r="T90" i="3" s="1"/>
  <c r="V90" i="3" s="1"/>
  <c r="G90" i="3"/>
  <c r="U90" i="3" s="1"/>
  <c r="W90" i="3" s="1"/>
  <c r="F63" i="3"/>
  <c r="T63" i="3" s="1"/>
  <c r="V63" i="3" s="1"/>
  <c r="G63" i="3"/>
  <c r="U63" i="3" s="1"/>
  <c r="W63" i="3" s="1"/>
  <c r="F131" i="3"/>
  <c r="T131" i="3" s="1"/>
  <c r="V131" i="3" s="1"/>
  <c r="G131" i="3"/>
  <c r="U131" i="3" s="1"/>
  <c r="W131" i="3" s="1"/>
  <c r="G198" i="3"/>
  <c r="U198" i="3" s="1"/>
  <c r="W198" i="3" s="1"/>
  <c r="F198" i="3"/>
  <c r="T198" i="3" s="1"/>
  <c r="V198" i="3" s="1"/>
  <c r="G46" i="3"/>
  <c r="U46" i="3" s="1"/>
  <c r="W46" i="3" s="1"/>
  <c r="F46" i="3"/>
  <c r="T46" i="3" s="1"/>
  <c r="V46" i="3" s="1"/>
  <c r="F56" i="3"/>
  <c r="T56" i="3" s="1"/>
  <c r="V56" i="3" s="1"/>
  <c r="G56" i="3"/>
  <c r="U56" i="3" s="1"/>
  <c r="W56" i="3" s="1"/>
  <c r="F24" i="3"/>
  <c r="T24" i="3" s="1"/>
  <c r="V24" i="3" s="1"/>
  <c r="G24" i="3"/>
  <c r="U24" i="3" s="1"/>
  <c r="W24" i="3" s="1"/>
  <c r="G146" i="3"/>
  <c r="U146" i="3" s="1"/>
  <c r="W146" i="3" s="1"/>
  <c r="F146" i="3"/>
  <c r="T146" i="3" s="1"/>
  <c r="V146" i="3" s="1"/>
  <c r="F153" i="3"/>
  <c r="T153" i="3" s="1"/>
  <c r="V153" i="3" s="1"/>
  <c r="G153" i="3"/>
  <c r="U153" i="3" s="1"/>
  <c r="W153" i="3" s="1"/>
  <c r="G162" i="3"/>
  <c r="U162" i="3" s="1"/>
  <c r="W162" i="3" s="1"/>
  <c r="F162" i="3"/>
  <c r="T162" i="3" s="1"/>
  <c r="V162" i="3" s="1"/>
  <c r="G52" i="3"/>
  <c r="U52" i="3" s="1"/>
  <c r="W52" i="3" s="1"/>
  <c r="F52" i="3"/>
  <c r="T52" i="3" s="1"/>
  <c r="V52" i="3" s="1"/>
  <c r="F195" i="3"/>
  <c r="T195" i="3" s="1"/>
  <c r="V195" i="3" s="1"/>
  <c r="G195" i="3"/>
  <c r="U195" i="3" s="1"/>
  <c r="W195" i="3" s="1"/>
  <c r="F70" i="3"/>
  <c r="T70" i="3" s="1"/>
  <c r="V70" i="3" s="1"/>
  <c r="G70" i="3"/>
  <c r="U70" i="3" s="1"/>
  <c r="W70" i="3" s="1"/>
  <c r="F99" i="3"/>
  <c r="T99" i="3" s="1"/>
  <c r="V99" i="3" s="1"/>
  <c r="G99" i="3"/>
  <c r="U99" i="3" s="1"/>
  <c r="W99" i="3" s="1"/>
  <c r="F104" i="3"/>
  <c r="T104" i="3" s="1"/>
  <c r="V104" i="3" s="1"/>
  <c r="G104" i="3"/>
  <c r="U104" i="3" s="1"/>
  <c r="W104" i="3" s="1"/>
  <c r="G155" i="3"/>
  <c r="U155" i="3" s="1"/>
  <c r="W155" i="3" s="1"/>
  <c r="F155" i="3"/>
  <c r="T155" i="3" s="1"/>
  <c r="V155" i="3" s="1"/>
  <c r="G97" i="3"/>
  <c r="U97" i="3" s="1"/>
  <c r="W97" i="3" s="1"/>
  <c r="F97" i="3"/>
  <c r="T97" i="3" s="1"/>
  <c r="V97" i="3" s="1"/>
  <c r="G38" i="3"/>
  <c r="U38" i="3" s="1"/>
  <c r="W38" i="3" s="1"/>
  <c r="F38" i="3"/>
  <c r="T38" i="3" s="1"/>
  <c r="V38" i="3" s="1"/>
  <c r="G68" i="3"/>
  <c r="U68" i="3" s="1"/>
  <c r="W68" i="3" s="1"/>
  <c r="F68" i="3"/>
  <c r="T68" i="3" s="1"/>
  <c r="V68" i="3" s="1"/>
  <c r="F197" i="3"/>
  <c r="T197" i="3" s="1"/>
  <c r="V197" i="3" s="1"/>
  <c r="G197" i="3"/>
  <c r="U197" i="3" s="1"/>
  <c r="W197" i="3" s="1"/>
  <c r="F36" i="3"/>
  <c r="T36" i="3" s="1"/>
  <c r="V36" i="3" s="1"/>
  <c r="G36" i="3"/>
  <c r="U36" i="3" s="1"/>
  <c r="W36" i="3" s="1"/>
  <c r="F102" i="3"/>
  <c r="T102" i="3" s="1"/>
  <c r="V102" i="3" s="1"/>
  <c r="G102" i="3"/>
  <c r="U102" i="3" s="1"/>
  <c r="W102" i="3" s="1"/>
  <c r="G168" i="3"/>
  <c r="U168" i="3" s="1"/>
  <c r="W168" i="3" s="1"/>
  <c r="F168" i="3"/>
  <c r="T168" i="3" s="1"/>
  <c r="V168" i="3" s="1"/>
  <c r="G161" i="3"/>
  <c r="U161" i="3" s="1"/>
  <c r="W161" i="3" s="1"/>
  <c r="F161" i="3"/>
  <c r="T161" i="3" s="1"/>
  <c r="V161" i="3" s="1"/>
  <c r="F136" i="3"/>
  <c r="T136" i="3" s="1"/>
  <c r="V136" i="3" s="1"/>
  <c r="G136" i="3"/>
  <c r="U136" i="3" s="1"/>
  <c r="W136" i="3" s="1"/>
  <c r="F196" i="3"/>
  <c r="T196" i="3" s="1"/>
  <c r="V196" i="3" s="1"/>
  <c r="G196" i="3"/>
  <c r="U196" i="3" s="1"/>
  <c r="W196" i="3" s="1"/>
  <c r="F135" i="3"/>
  <c r="T135" i="3" s="1"/>
  <c r="V135" i="3" s="1"/>
  <c r="G135" i="3"/>
  <c r="U135" i="3" s="1"/>
  <c r="W135" i="3" s="1"/>
  <c r="F109" i="3"/>
  <c r="T109" i="3" s="1"/>
  <c r="V109" i="3" s="1"/>
  <c r="G109" i="3"/>
  <c r="U109" i="3" s="1"/>
  <c r="W109" i="3" s="1"/>
  <c r="F111" i="3"/>
  <c r="T111" i="3" s="1"/>
  <c r="V111" i="3" s="1"/>
  <c r="G111" i="3"/>
  <c r="U111" i="3" s="1"/>
  <c r="W111" i="3" s="1"/>
  <c r="G66" i="3"/>
  <c r="U66" i="3" s="1"/>
  <c r="W66" i="3" s="1"/>
  <c r="F66" i="3"/>
  <c r="T66" i="3" s="1"/>
  <c r="V66" i="3" s="1"/>
  <c r="F75" i="3"/>
  <c r="T75" i="3" s="1"/>
  <c r="V75" i="3" s="1"/>
  <c r="G75" i="3"/>
  <c r="U75" i="3" s="1"/>
  <c r="W75" i="3" s="1"/>
  <c r="G181" i="3"/>
  <c r="U181" i="3" s="1"/>
  <c r="W181" i="3" s="1"/>
  <c r="F181" i="3"/>
  <c r="T181" i="3" s="1"/>
  <c r="V181" i="3" s="1"/>
  <c r="F27" i="3"/>
  <c r="T27" i="3" s="1"/>
  <c r="V27" i="3" s="1"/>
  <c r="G27" i="3"/>
  <c r="U27" i="3" s="1"/>
  <c r="W27" i="3" s="1"/>
  <c r="G154" i="3"/>
  <c r="U154" i="3" s="1"/>
  <c r="W154" i="3" s="1"/>
  <c r="F154" i="3"/>
  <c r="T154" i="3" s="1"/>
  <c r="V154" i="3" s="1"/>
  <c r="F61" i="3"/>
  <c r="T61" i="3" s="1"/>
  <c r="V61" i="3" s="1"/>
  <c r="G61" i="3"/>
  <c r="U61" i="3" s="1"/>
  <c r="W61" i="3" s="1"/>
  <c r="F41" i="3"/>
  <c r="T41" i="3" s="1"/>
  <c r="V41" i="3" s="1"/>
  <c r="G41" i="3"/>
  <c r="U41" i="3" s="1"/>
  <c r="W41" i="3" s="1"/>
  <c r="G159" i="3"/>
  <c r="U159" i="3" s="1"/>
  <c r="W159" i="3" s="1"/>
  <c r="F159" i="3"/>
  <c r="T159" i="3" s="1"/>
  <c r="V159" i="3" s="1"/>
  <c r="F182" i="3"/>
  <c r="T182" i="3" s="1"/>
  <c r="V182" i="3" s="1"/>
  <c r="G182" i="3"/>
  <c r="U182" i="3" s="1"/>
  <c r="W182" i="3" s="1"/>
  <c r="G80" i="3"/>
  <c r="U80" i="3" s="1"/>
  <c r="W80" i="3" s="1"/>
  <c r="F80" i="3"/>
  <c r="T80" i="3" s="1"/>
  <c r="V80" i="3" s="1"/>
  <c r="F191" i="3"/>
  <c r="T191" i="3" s="1"/>
  <c r="V191" i="3" s="1"/>
  <c r="G191" i="3"/>
  <c r="U191" i="3" s="1"/>
  <c r="W191" i="3" s="1"/>
  <c r="G179" i="3"/>
  <c r="U179" i="3" s="1"/>
  <c r="W179" i="3" s="1"/>
  <c r="F179" i="3"/>
  <c r="T179" i="3" s="1"/>
  <c r="V179" i="3" s="1"/>
  <c r="B34" i="7" l="1"/>
  <c r="B35" i="7" s="1"/>
  <c r="B37" i="7" s="1"/>
  <c r="W2" i="3"/>
  <c r="C34" i="7"/>
  <c r="C35" i="7" s="1"/>
  <c r="C37" i="7" s="1"/>
  <c r="V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<sst xmlns="http://schemas.openxmlformats.org/spreadsheetml/2006/main" count="192" uniqueCount="154">
  <si>
    <t>f</t>
  </si>
  <si>
    <t>b1</t>
  </si>
  <si>
    <t>b0</t>
  </si>
  <si>
    <t>f [Hz]</t>
  </si>
  <si>
    <t>IL</t>
  </si>
  <si>
    <t>eq149-14_us</t>
  </si>
  <si>
    <t>eq149-14_ds</t>
  </si>
  <si>
    <t>Tx_PSD_us</t>
  </si>
  <si>
    <t>Tx_PSD_ds</t>
  </si>
  <si>
    <t>Rx_PSD_us</t>
  </si>
  <si>
    <t>Rx_PSD_ds</t>
  </si>
  <si>
    <t>eq149-22_us</t>
  </si>
  <si>
    <t>eq149-22_ds</t>
  </si>
  <si>
    <t>Rx_echo_us</t>
  </si>
  <si>
    <t>Rx_echo_ds</t>
  </si>
  <si>
    <t>AFE_noise_us</t>
  </si>
  <si>
    <t>AFE_noise_ds</t>
  </si>
  <si>
    <t>EC_cancelation_us</t>
  </si>
  <si>
    <t>EC_cancelation_ds</t>
  </si>
  <si>
    <t>Echo_res_us</t>
  </si>
  <si>
    <t>Echo_res_ds</t>
  </si>
  <si>
    <t>Noise_us</t>
  </si>
  <si>
    <t>Noise_ds</t>
  </si>
  <si>
    <t>SNR_us</t>
  </si>
  <si>
    <t>SNRdB_us</t>
  </si>
  <si>
    <t>SNRdB_ds</t>
  </si>
  <si>
    <t>Freq</t>
  </si>
  <si>
    <t>SNR_ds</t>
  </si>
  <si>
    <t>PSD_brick_us</t>
  </si>
  <si>
    <t>dF</t>
  </si>
  <si>
    <t>Inband_us</t>
  </si>
  <si>
    <t>Inband_ds</t>
  </si>
  <si>
    <t>PSD_brick_ds</t>
  </si>
  <si>
    <t>connector_echo</t>
  </si>
  <si>
    <t>wire_echo</t>
  </si>
  <si>
    <t>channel_echo</t>
  </si>
  <si>
    <t>Echo_transfer_us</t>
  </si>
  <si>
    <t>Echo_transfer_ds</t>
  </si>
  <si>
    <t>PAM Levels:</t>
  </si>
  <si>
    <t>Target RS-FEC output BER:</t>
  </si>
  <si>
    <t>FEC Block Size (n):</t>
  </si>
  <si>
    <t>Bits per FEC Symbol:</t>
  </si>
  <si>
    <t>Impulse Error Rate:</t>
  </si>
  <si>
    <t>Corectable Errors per FEC Block:</t>
  </si>
  <si>
    <t>Average Errors per FEC Block:</t>
  </si>
  <si>
    <t>Average Errors per FEC Symbol:</t>
  </si>
  <si>
    <t>Required Slicer BER:</t>
  </si>
  <si>
    <t>Required Gaussian Slicer BER:</t>
  </si>
  <si>
    <t>Required SNR [linear]:</t>
  </si>
  <si>
    <t>Required SNR [dB]:</t>
  </si>
  <si>
    <t>Cable Length [m]:</t>
  </si>
  <si>
    <t>PSD-mask:</t>
  </si>
  <si>
    <t>Transmit Power [dBm]:</t>
  </si>
  <si>
    <t>Wire u-reflections [dB]:</t>
  </si>
  <si>
    <t>EC cancelation [dB]:</t>
  </si>
  <si>
    <t>EC Connector cancelation [%]:</t>
  </si>
  <si>
    <t>Implementation Loss [dB]:</t>
  </si>
  <si>
    <t>Requrements</t>
  </si>
  <si>
    <t>Modulation</t>
  </si>
  <si>
    <t>Transmit Signal</t>
  </si>
  <si>
    <t>Simulation Parameters</t>
  </si>
  <si>
    <t>Upstream</t>
  </si>
  <si>
    <t>Downstream</t>
  </si>
  <si>
    <t>Sampling Rate [Hz]:</t>
  </si>
  <si>
    <t>Nyquist Frequncy [Hz]:</t>
  </si>
  <si>
    <t>S_ch:</t>
  </si>
  <si>
    <t>K_ch_UPSD:</t>
  </si>
  <si>
    <t>RS-Overhead:</t>
  </si>
  <si>
    <t>SNR Margin [dB]:</t>
  </si>
  <si>
    <t>Theoretical Slicer SNR [dB]:</t>
  </si>
  <si>
    <t>Estimated Slicer SNR [dB]:</t>
  </si>
  <si>
    <t>Insertion Loss @ Nyquist [dB]:</t>
  </si>
  <si>
    <t>Number of Connectors:</t>
  </si>
  <si>
    <t>TDD Time Duty-Cycle:</t>
  </si>
  <si>
    <t>Cable Model:</t>
  </si>
  <si>
    <t>PSD_brick</t>
  </si>
  <si>
    <t>Parameters</t>
  </si>
  <si>
    <t>eq149-18</t>
  </si>
  <si>
    <t>Connector Echo Model:</t>
  </si>
  <si>
    <t>Good</t>
  </si>
  <si>
    <t>Easy</t>
  </si>
  <si>
    <t>C0 Value</t>
  </si>
  <si>
    <t>Hard</t>
  </si>
  <si>
    <t>Frequncy Step [Hz]:</t>
  </si>
  <si>
    <t>hard</t>
  </si>
  <si>
    <t>Bad</t>
  </si>
  <si>
    <t>FEC Data Size (k):</t>
  </si>
  <si>
    <t>THIS SOFTWARE IS PROVIDED "AS IS" WITHOUT ANY EXPRESSED OR IMPLIED WARRANTIES, INCLUDING, BUT NOT LIMITED TO MERCHANTABILITY AND FITNESS FOR A PARTICULAR PURPOSE. </t>
  </si>
  <si>
    <t>Design Tradeoff</t>
  </si>
  <si>
    <t>Calculated Values</t>
  </si>
  <si>
    <t>Required Slicer SNR [dB]:</t>
  </si>
  <si>
    <t>Nyquist Frequency [GHz]:</t>
  </si>
  <si>
    <t>Data Rate [Gbps]:</t>
  </si>
  <si>
    <t xml:space="preserve">Difficulty </t>
  </si>
  <si>
    <t>Selected Difficulty:</t>
  </si>
  <si>
    <t>mueller_3cy_01_10_14_20_target</t>
  </si>
  <si>
    <t>P</t>
  </si>
  <si>
    <t>patel_3cy_01_0920</t>
  </si>
  <si>
    <t>boyer_3cy_01_10_14_20_c1</t>
  </si>
  <si>
    <t>Max Simulation Frequency:</t>
  </si>
  <si>
    <t>RS-FEC Correction Efficiency:</t>
  </si>
  <si>
    <t>Datarate [Gbps]:</t>
  </si>
  <si>
    <t>the net required data rate</t>
  </si>
  <si>
    <t>the bit error rate after Forward Error Correction</t>
  </si>
  <si>
    <t>the length of the cable to use in the calculations</t>
  </si>
  <si>
    <t>the gain of the return loss transfer function for the micro-reflections</t>
  </si>
  <si>
    <t xml:space="preserve">the total number of connectors, including end connectors and inline connectors </t>
  </si>
  <si>
    <t>number of levels used in Pulse Amplitude Modulation</t>
  </si>
  <si>
    <t>total number of symbols in each FEC block</t>
  </si>
  <si>
    <t>number of data symbols in each FEC block</t>
  </si>
  <si>
    <t>RS-FEC Correction Efficency:</t>
  </si>
  <si>
    <t>the efficiency of the FEC, compared to theoretical limit</t>
  </si>
  <si>
    <t>number of bits in each FEC symbol</t>
  </si>
  <si>
    <t>percentage of time spent in each direction in TDD</t>
  </si>
  <si>
    <t>selects one of the predefined masks for the transmit Power Spectral Density</t>
  </si>
  <si>
    <t>Scales the transmit power of the mask</t>
  </si>
  <si>
    <t>Design Traidoffs</t>
  </si>
  <si>
    <t xml:space="preserve">frequency of impulse events at the slicer </t>
  </si>
  <si>
    <t>noise floor of the Analog Front End</t>
  </si>
  <si>
    <t>suppression of echo other than main connector echo</t>
  </si>
  <si>
    <t xml:space="preserve">percentage of connector echo that is canceled by the echo cancelers </t>
  </si>
  <si>
    <t>margin loss due to imperfections in the Phy implementation, such as ADC quantization, coefficient quantization, etc.</t>
  </si>
  <si>
    <t>name of channel model selected from the tables in the Channels tab</t>
  </si>
  <si>
    <t>name of connector echo model selected from the Mask tab</t>
  </si>
  <si>
    <t>Max Frequency:</t>
  </si>
  <si>
    <t>the maximum frequency used in the calculations (needs to be higher than the Nyquist frequency)</t>
  </si>
  <si>
    <t>SNR for ideally equalized system</t>
  </si>
  <si>
    <t>theoretical SNR minus the implementation loss</t>
  </si>
  <si>
    <t>minimum SNR to maintain the desired bit error rate</t>
  </si>
  <si>
    <t>difference of estimated SNR and required SNR</t>
  </si>
  <si>
    <t xml:space="preserve"> half the baud rate</t>
  </si>
  <si>
    <t>channel insertion loss at the Nyquist frequency</t>
  </si>
  <si>
    <t xml:space="preserve">Echo Difficulty </t>
  </si>
  <si>
    <t>IEEE 802.3ch PSD mask parameters</t>
  </si>
  <si>
    <t>Go to "Config" tab to start using this spreadsheet.</t>
  </si>
  <si>
    <t>Column1</t>
  </si>
  <si>
    <t>Column2</t>
  </si>
  <si>
    <t>Note: Most cells are locked, but green cells can be edited.</t>
  </si>
  <si>
    <t>Unlock Password:</t>
  </si>
  <si>
    <t>Marvell</t>
  </si>
  <si>
    <t>AFE_noise [dBm/Hz];</t>
  </si>
  <si>
    <t>Framing Overhead</t>
  </si>
  <si>
    <t>Temperature [°C]</t>
  </si>
  <si>
    <t>zimmerman_mask</t>
  </si>
  <si>
    <t>drho</t>
  </si>
  <si>
    <t>zimmerman_3cy_01a_1120</t>
  </si>
  <si>
    <t>Temperature of cable (used to adjust IL).</t>
  </si>
  <si>
    <t xml:space="preserve">Framing Overhead other than RS-FEC </t>
  </si>
  <si>
    <t>AFE-noise [dBm/Hz]:</t>
  </si>
  <si>
    <t>Temperature [°C]:</t>
  </si>
  <si>
    <t>Framing Overhead:</t>
  </si>
  <si>
    <t>mueller_3cy_01_12_01_20_sdp</t>
  </si>
  <si>
    <t>mueller*sdp</t>
  </si>
  <si>
    <t>jonsson_3cy_01_12_01_20 - Channel Capacity Calculator 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</si>
</sst>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8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 applyNumberFormat="1"/>
    <xf numFmtId="0" fontId="3" fillId="0" borderId="0" xfId="0" applyFont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2" fontId="0" fillId="2" borderId="2" xfId="0" applyNumberFormat="1" applyFill="1" applyBorder="1"/>
    <xf numFmtId="0" fontId="0" fillId="0" borderId="0" xfId="0" applyBorder="1"/>
    <xf numFmtId="0" fontId="0" fillId="3" borderId="6" xfId="0" applyFill="1" applyBorder="1"/>
    <xf numFmtId="11" fontId="0" fillId="3" borderId="4" xfId="0" applyNumberFormat="1" applyFill="1" applyBorder="1"/>
    <xf numFmtId="2" fontId="0" fillId="3" borderId="8" xfId="0" applyNumberFormat="1" applyFill="1" applyBorder="1"/>
    <xf numFmtId="0" fontId="0" fillId="0" borderId="1" xfId="0" applyFill="1" applyBorder="1" applyAlignment="1">
      <alignment horizontal="right"/>
    </xf>
    <xf numFmtId="2" fontId="0" fillId="2" borderId="9" xfId="0" applyNumberFormat="1" applyFill="1" applyBorder="1"/>
    <xf numFmtId="2" fontId="0" fillId="9" borderId="9" xfId="0" applyNumberFormat="1" applyFill="1" applyBorder="1"/>
    <xf numFmtId="2" fontId="0" fillId="0" borderId="0" xfId="0" applyNumberFormat="1" applyBorder="1"/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Fill="1" applyBorder="1" applyAlignment="1">
      <alignment horizontal="right"/>
    </xf>
    <xf numFmtId="2" fontId="0" fillId="2" borderId="13" xfId="0" applyNumberFormat="1" applyFill="1" applyBorder="1"/>
    <xf numFmtId="2" fontId="0" fillId="9" borderId="13" xfId="0" applyNumberFormat="1" applyFill="1" applyBorder="1"/>
    <xf numFmtId="0" fontId="0" fillId="0" borderId="15" xfId="0" applyFill="1" applyBorder="1" applyAlignment="1">
      <alignment horizontal="right"/>
    </xf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18" xfId="0" applyBorder="1"/>
    <xf numFmtId="0" fontId="0" fillId="6" borderId="11" xfId="0" applyFont="1" applyFill="1" applyBorder="1" applyAlignment="1">
      <alignment horizontal="right"/>
    </xf>
    <xf numFmtId="0" fontId="0" fillId="7" borderId="12" xfId="0" applyFont="1" applyFill="1" applyBorder="1" applyAlignment="1">
      <alignment horizontal="right"/>
    </xf>
    <xf numFmtId="0" fontId="0" fillId="6" borderId="12" xfId="0" applyFont="1" applyFill="1" applyBorder="1" applyAlignment="1">
      <alignment horizontal="right"/>
    </xf>
    <xf numFmtId="0" fontId="0" fillId="6" borderId="15" xfId="0" applyFont="1" applyFill="1" applyBorder="1" applyAlignment="1">
      <alignment horizontal="right"/>
    </xf>
    <xf numFmtId="0" fontId="0" fillId="8" borderId="21" xfId="0" applyFont="1" applyFill="1" applyBorder="1"/>
    <xf numFmtId="0" fontId="0" fillId="3" borderId="10" xfId="0" applyNumberFormat="1" applyFont="1" applyFill="1" applyBorder="1"/>
    <xf numFmtId="0" fontId="0" fillId="8" borderId="22" xfId="0" applyNumberFormat="1" applyFont="1" applyFill="1" applyBorder="1"/>
    <xf numFmtId="3" fontId="3" fillId="0" borderId="0" xfId="0" applyNumberFormat="1" applyFont="1"/>
    <xf numFmtId="3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10" borderId="13" xfId="0" applyFill="1" applyBorder="1"/>
    <xf numFmtId="11" fontId="0" fillId="10" borderId="13" xfId="0" applyNumberFormat="1" applyFill="1" applyBorder="1"/>
    <xf numFmtId="9" fontId="0" fillId="10" borderId="13" xfId="1" applyFont="1" applyFill="1" applyBorder="1"/>
    <xf numFmtId="9" fontId="0" fillId="10" borderId="13" xfId="0" applyNumberFormat="1" applyFill="1" applyBorder="1"/>
    <xf numFmtId="0" fontId="0" fillId="10" borderId="13" xfId="0" applyFill="1" applyBorder="1" applyAlignment="1">
      <alignment horizontal="left"/>
    </xf>
    <xf numFmtId="11" fontId="0" fillId="10" borderId="17" xfId="0" applyNumberFormat="1" applyFill="1" applyBorder="1" applyAlignment="1">
      <alignment horizontal="left"/>
    </xf>
    <xf numFmtId="0" fontId="0" fillId="0" borderId="28" xfId="0" applyBorder="1" applyAlignment="1">
      <alignment horizontal="right"/>
    </xf>
    <xf numFmtId="0" fontId="0" fillId="7" borderId="28" xfId="0" applyFill="1" applyBorder="1" applyAlignment="1">
      <alignment horizontal="right"/>
    </xf>
    <xf numFmtId="0" fontId="0" fillId="8" borderId="9" xfId="0" applyNumberFormat="1" applyFont="1" applyFill="1" applyBorder="1"/>
    <xf numFmtId="0" fontId="0" fillId="0" borderId="11" xfId="0" applyBorder="1"/>
    <xf numFmtId="0" fontId="0" fillId="0" borderId="32" xfId="0" applyBorder="1"/>
    <xf numFmtId="0" fontId="0" fillId="0" borderId="27" xfId="0" applyBorder="1"/>
    <xf numFmtId="0" fontId="0" fillId="8" borderId="13" xfId="0" applyNumberFormat="1" applyFont="1" applyFill="1" applyBorder="1"/>
    <xf numFmtId="0" fontId="0" fillId="8" borderId="17" xfId="0" applyNumberFormat="1" applyFont="1" applyFill="1" applyBorder="1"/>
    <xf numFmtId="0" fontId="0" fillId="3" borderId="13" xfId="0" applyNumberFormat="1" applyFont="1" applyFill="1" applyBorder="1"/>
    <xf numFmtId="2" fontId="0" fillId="8" borderId="16" xfId="0" applyNumberFormat="1" applyFont="1" applyFill="1" applyBorder="1"/>
    <xf numFmtId="2" fontId="0" fillId="8" borderId="17" xfId="0" applyNumberFormat="1" applyFont="1" applyFill="1" applyBorder="1"/>
    <xf numFmtId="0" fontId="0" fillId="4" borderId="9" xfId="0" applyFill="1" applyBorder="1" applyProtection="1">
      <protection locked="0"/>
    </xf>
    <xf numFmtId="0" fontId="0" fillId="4" borderId="13" xfId="0" applyFill="1" applyBorder="1" applyProtection="1">
      <protection locked="0"/>
    </xf>
    <xf numFmtId="11" fontId="0" fillId="4" borderId="9" xfId="0" applyNumberFormat="1" applyFill="1" applyBorder="1" applyProtection="1">
      <protection locked="0"/>
    </xf>
    <xf numFmtId="9" fontId="0" fillId="4" borderId="9" xfId="1" applyFont="1" applyFill="1" applyBorder="1" applyProtection="1">
      <protection locked="0"/>
    </xf>
    <xf numFmtId="9" fontId="0" fillId="4" borderId="13" xfId="1" applyFont="1" applyFill="1" applyBorder="1" applyProtection="1">
      <protection locked="0"/>
    </xf>
    <xf numFmtId="9" fontId="0" fillId="4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NumberFormat="1" applyFill="1" applyProtection="1">
      <protection locked="0"/>
    </xf>
    <xf numFmtId="11" fontId="0" fillId="4" borderId="0" xfId="0" applyNumberFormat="1" applyFill="1" applyProtection="1">
      <protection locked="0"/>
    </xf>
    <xf numFmtId="0" fontId="0" fillId="0" borderId="0" xfId="0" applyAlignment="1">
      <alignment horizontal="right"/>
    </xf>
    <xf numFmtId="0" fontId="6" fillId="0" borderId="0" xfId="0" applyFont="1"/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9" fontId="0" fillId="10" borderId="14" xfId="0" applyNumberFormat="1" applyFill="1" applyBorder="1"/>
    <xf numFmtId="0" fontId="0" fillId="7" borderId="12" xfId="0" applyFill="1" applyBorder="1" applyAlignment="1">
      <alignment horizontal="right"/>
    </xf>
    <xf numFmtId="0" fontId="0" fillId="7" borderId="33" xfId="0" applyFill="1" applyBorder="1" applyAlignment="1">
      <alignment horizontal="right"/>
    </xf>
    <xf numFmtId="165" fontId="0" fillId="4" borderId="9" xfId="0" applyNumberFormat="1" applyFill="1" applyBorder="1" applyProtection="1">
      <protection locked="0"/>
    </xf>
    <xf numFmtId="165" fontId="0" fillId="4" borderId="13" xfId="1" applyNumberFormat="1" applyFont="1" applyFill="1" applyBorder="1" applyProtection="1">
      <protection locked="0"/>
    </xf>
    <xf numFmtId="0" fontId="2" fillId="5" borderId="3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8" fillId="5" borderId="3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1" fontId="0" fillId="4" borderId="13" xfId="0" applyNumberForma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23" xfId="3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2" fillId="5" borderId="28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1" fontId="0" fillId="4" borderId="22" xfId="0" applyNumberFormat="1" applyFill="1" applyBorder="1" applyAlignment="1" applyProtection="1">
      <alignment horizontal="center"/>
      <protection locked="0"/>
    </xf>
    <xf numFmtId="11" fontId="0" fillId="4" borderId="24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164" fontId="0" fillId="3" borderId="23" xfId="2" applyNumberFormat="1" applyFont="1" applyFill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31" xfId="0" applyFill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56">
    <dxf>
      <numFmt numFmtId="15" formatCode="0.00E+00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indexed="64"/>
          <bgColor rgb="FF92D050"/>
        </patternFill>
      </fill>
      <protection locked="0" hidden="0"/>
    </dxf>
    <dxf>
      <fill>
        <patternFill patternType="solid">
          <fgColor indexed="64"/>
          <bgColor rgb="FF92D050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15" formatCode="0.00E+00"/>
      <fill>
        <patternFill patternType="solid">
          <fgColor indexed="64"/>
          <bgColor rgb="FF92D050"/>
        </patternFill>
      </fill>
      <protection locked="0" hidden="0"/>
    </dxf>
    <dxf>
      <numFmt numFmtId="15" formatCode="0.00E+00"/>
      <fill>
        <patternFill patternType="solid">
          <fgColor indexed="64"/>
          <bgColor rgb="FF92D050"/>
        </patternFill>
      </fill>
      <protection locked="0" hidden="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0" formatCode="General"/>
      <fill>
        <patternFill patternType="solid">
          <fgColor indexed="64"/>
          <bgColor rgb="FF92D050"/>
        </patternFill>
      </fill>
    </dxf>
    <dxf>
      <numFmt numFmtId="0" formatCode="General"/>
      <fill>
        <patternFill patternType="solid">
          <fgColor indexed="64"/>
          <bgColor rgb="FF92D050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5" formatCode="0.00E+00"/>
    </dxf>
    <dxf>
      <numFmt numFmtId="3" formatCode="#,##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8"/>
          <c:order val="18"/>
          <c:tx>
            <c:strRef>
              <c:f>Calculate!$T$1</c:f>
              <c:strCache>
                <c:ptCount val="1"/>
                <c:pt idx="0">
                  <c:v>SNRdB_us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Calculate!$T$2:$T$201</c:f>
              <c:numCache>
                <c:formatCode>0.00</c:formatCode>
                <c:ptCount val="200"/>
                <c:pt idx="0">
                  <c:v>38.308094845483907</c:v>
                </c:pt>
                <c:pt idx="1">
                  <c:v>37.615035380338654</c:v>
                </c:pt>
                <c:pt idx="2">
                  <c:v>37.072614802114288</c:v>
                </c:pt>
                <c:pt idx="3">
                  <c:v>36.608170649627539</c:v>
                </c:pt>
                <c:pt idx="4">
                  <c:v>36.193557730285761</c:v>
                </c:pt>
                <c:pt idx="5">
                  <c:v>35.81434147582172</c:v>
                </c:pt>
                <c:pt idx="6">
                  <c:v>35.461947090582299</c:v>
                </c:pt>
                <c:pt idx="7">
                  <c:v>35.130787620838177</c:v>
                </c:pt>
                <c:pt idx="8">
                  <c:v>34.816982355271534</c:v>
                </c:pt>
                <c:pt idx="9">
                  <c:v>34.517705771598116</c:v>
                </c:pt>
                <c:pt idx="10">
                  <c:v>34.230824828722149</c:v>
                </c:pt>
                <c:pt idx="11">
                  <c:v>33.954682365890349</c:v>
                </c:pt>
                <c:pt idx="12">
                  <c:v>33.687960530156886</c:v>
                </c:pt>
                <c:pt idx="13">
                  <c:v>33.429590811410975</c:v>
                </c:pt>
                <c:pt idx="14">
                  <c:v>33.178692604122162</c:v>
                </c:pt>
                <c:pt idx="15">
                  <c:v>32.934529962417628</c:v>
                </c:pt>
                <c:pt idx="16">
                  <c:v>32.69648036744826</c:v>
                </c:pt>
                <c:pt idx="17">
                  <c:v>32.464011664340461</c:v>
                </c:pt>
                <c:pt idx="18">
                  <c:v>32.236664699479164</c:v>
                </c:pt>
                <c:pt idx="19">
                  <c:v>32.014040025235929</c:v>
                </c:pt>
                <c:pt idx="20">
                  <c:v>31.795787564809117</c:v>
                </c:pt>
                <c:pt idx="21">
                  <c:v>31.58159846946262</c:v>
                </c:pt>
                <c:pt idx="22">
                  <c:v>31.371198625164993</c:v>
                </c:pt>
                <c:pt idx="23">
                  <c:v>31.164343417807942</c:v>
                </c:pt>
                <c:pt idx="24">
                  <c:v>30.960813471064895</c:v>
                </c:pt>
                <c:pt idx="25">
                  <c:v>30.760411144758933</c:v>
                </c:pt>
                <c:pt idx="26">
                  <c:v>30.562957634170573</c:v>
                </c:pt>
                <c:pt idx="27">
                  <c:v>30.368290548831339</c:v>
                </c:pt>
                <c:pt idx="28">
                  <c:v>30.176261877372099</c:v>
                </c:pt>
                <c:pt idx="29">
                  <c:v>29.986736265738102</c:v>
                </c:pt>
                <c:pt idx="30">
                  <c:v>29.799589551748426</c:v>
                </c:pt>
                <c:pt idx="31">
                  <c:v>29.614707510842265</c:v>
                </c:pt>
                <c:pt idx="32">
                  <c:v>29.431984776956028</c:v>
                </c:pt>
                <c:pt idx="33">
                  <c:v>29.251323909548901</c:v>
                </c:pt>
                <c:pt idx="34">
                  <c:v>29.072634583280916</c:v>
                </c:pt>
                <c:pt idx="35">
                  <c:v>28.895832881214218</c:v>
                </c:pt>
                <c:pt idx="36">
                  <c:v>28.720840675774355</c:v>
                </c:pt>
                <c:pt idx="37">
                  <c:v>28.547585084570358</c:v>
                </c:pt>
                <c:pt idx="38">
                  <c:v>28.375997990239441</c:v>
                </c:pt>
                <c:pt idx="39">
                  <c:v>28.206015615367306</c:v>
                </c:pt>
                <c:pt idx="40">
                  <c:v>28.037578144985545</c:v>
                </c:pt>
                <c:pt idx="41">
                  <c:v>27.870629390238349</c:v>
                </c:pt>
                <c:pt idx="42">
                  <c:v>27.705116487888702</c:v>
                </c:pt>
                <c:pt idx="43">
                  <c:v>27.540989631114172</c:v>
                </c:pt>
                <c:pt idx="44">
                  <c:v>27.378201827689423</c:v>
                </c:pt>
                <c:pt idx="45">
                  <c:v>27.216708682217302</c:v>
                </c:pt>
                <c:pt idx="46">
                  <c:v>27.056468199551659</c:v>
                </c:pt>
                <c:pt idx="47">
                  <c:v>26.897440606955968</c:v>
                </c:pt>
                <c:pt idx="48">
                  <c:v>26.739588192863124</c:v>
                </c:pt>
                <c:pt idx="49">
                  <c:v>26.582875160349531</c:v>
                </c:pt>
                <c:pt idx="50">
                  <c:v>26.427267493750918</c:v>
                </c:pt>
                <c:pt idx="51">
                  <c:v>26.272732836986918</c:v>
                </c:pt>
                <c:pt idx="52">
                  <c:v>26.119240382365973</c:v>
                </c:pt>
                <c:pt idx="53">
                  <c:v>25.966760768798281</c:v>
                </c:pt>
                <c:pt idx="54">
                  <c:v>25.815265988454598</c:v>
                </c:pt>
                <c:pt idx="55">
                  <c:v>25.664729300995816</c:v>
                </c:pt>
                <c:pt idx="56">
                  <c:v>25.515125154720835</c:v>
                </c:pt>
                <c:pt idx="57">
                  <c:v>25.36642911388418</c:v>
                </c:pt>
                <c:pt idx="58">
                  <c:v>25.218617791597296</c:v>
                </c:pt>
                <c:pt idx="59">
                  <c:v>25.071668787920842</c:v>
                </c:pt>
                <c:pt idx="60">
                  <c:v>24.925560632459806</c:v>
                </c:pt>
                <c:pt idx="61">
                  <c:v>24.78027273127168</c:v>
                </c:pt>
                <c:pt idx="62">
                  <c:v>24.635785317588955</c:v>
                </c:pt>
                <c:pt idx="63">
                  <c:v>24.492079406016387</c:v>
                </c:pt>
                <c:pt idx="64">
                  <c:v>24.349136749959229</c:v>
                </c:pt>
                <c:pt idx="65">
                  <c:v>24.206939802027279</c:v>
                </c:pt>
                <c:pt idx="66">
                  <c:v>24.065471677033855</c:v>
                </c:pt>
                <c:pt idx="67">
                  <c:v>23.924716117577518</c:v>
                </c:pt>
                <c:pt idx="68">
                  <c:v>23.784657461809559</c:v>
                </c:pt>
                <c:pt idx="69">
                  <c:v>23.645280613343985</c:v>
                </c:pt>
                <c:pt idx="70">
                  <c:v>23.506571013098792</c:v>
                </c:pt>
                <c:pt idx="71">
                  <c:v>23.368514612858078</c:v>
                </c:pt>
                <c:pt idx="72">
                  <c:v>23.231097850560388</c:v>
                </c:pt>
                <c:pt idx="73">
                  <c:v>23.09430762704875</c:v>
                </c:pt>
                <c:pt idx="74">
                  <c:v>22.958131284243308</c:v>
                </c:pt>
                <c:pt idx="75">
                  <c:v>22.822556584642726</c:v>
                </c:pt>
                <c:pt idx="76">
                  <c:v>22.687571691990684</c:v>
                </c:pt>
                <c:pt idx="77">
                  <c:v>22.553165153136263</c:v>
                </c:pt>
                <c:pt idx="78">
                  <c:v>22.419325880835316</c:v>
                </c:pt>
                <c:pt idx="79">
                  <c:v>22.28604313765085</c:v>
                </c:pt>
                <c:pt idx="80">
                  <c:v>22.15330652066524</c:v>
                </c:pt>
                <c:pt idx="81">
                  <c:v>22.021105947055645</c:v>
                </c:pt>
                <c:pt idx="82">
                  <c:v>21.889431640514005</c:v>
                </c:pt>
                <c:pt idx="83">
                  <c:v>21.758274118302111</c:v>
                </c:pt>
                <c:pt idx="84">
                  <c:v>21.627624179111393</c:v>
                </c:pt>
                <c:pt idx="85">
                  <c:v>21.497472891481721</c:v>
                </c:pt>
                <c:pt idx="86">
                  <c:v>21.367811582828054</c:v>
                </c:pt>
                <c:pt idx="87">
                  <c:v>21.238631829105245</c:v>
                </c:pt>
                <c:pt idx="88">
                  <c:v>21.109925444916257</c:v>
                </c:pt>
                <c:pt idx="89">
                  <c:v>20.981684474146988</c:v>
                </c:pt>
                <c:pt idx="90">
                  <c:v>20.853901181101378</c:v>
                </c:pt>
                <c:pt idx="91">
                  <c:v>20.726568042019096</c:v>
                </c:pt>
                <c:pt idx="92">
                  <c:v>20.599677737052104</c:v>
                </c:pt>
                <c:pt idx="93">
                  <c:v>20.473223142612298</c:v>
                </c:pt>
                <c:pt idx="94">
                  <c:v>20.347197324067679</c:v>
                </c:pt>
                <c:pt idx="95">
                  <c:v>20.221593528803908</c:v>
                </c:pt>
                <c:pt idx="96">
                  <c:v>20.096405179612162</c:v>
                </c:pt>
                <c:pt idx="97">
                  <c:v>19.971625868374815</c:v>
                </c:pt>
                <c:pt idx="98">
                  <c:v>19.847249350019325</c:v>
                </c:pt>
                <c:pt idx="99">
                  <c:v>19.723269536820396</c:v>
                </c:pt>
                <c:pt idx="100">
                  <c:v>19.59968049284052</c:v>
                </c:pt>
                <c:pt idx="101">
                  <c:v>19.476476428733633</c:v>
                </c:pt>
                <c:pt idx="102">
                  <c:v>19.353651696706777</c:v>
                </c:pt>
                <c:pt idx="103">
                  <c:v>19.231200785705568</c:v>
                </c:pt>
                <c:pt idx="104">
                  <c:v>19.109118316875964</c:v>
                </c:pt>
                <c:pt idx="105">
                  <c:v>18.987399039093134</c:v>
                </c:pt>
                <c:pt idx="106">
                  <c:v>18.866037824816829</c:v>
                </c:pt>
                <c:pt idx="107">
                  <c:v>18.745029666033972</c:v>
                </c:pt>
                <c:pt idx="108">
                  <c:v>18.624369670380503</c:v>
                </c:pt>
                <c:pt idx="109">
                  <c:v>18.504053057471893</c:v>
                </c:pt>
                <c:pt idx="110">
                  <c:v>18.384075155297268</c:v>
                </c:pt>
                <c:pt idx="111">
                  <c:v>18.264431396853752</c:v>
                </c:pt>
                <c:pt idx="112">
                  <c:v>18.145117316868181</c:v>
                </c:pt>
                <c:pt idx="113">
                  <c:v>18.026128548634404</c:v>
                </c:pt>
                <c:pt idx="114">
                  <c:v>17.907460820994501</c:v>
                </c:pt>
                <c:pt idx="115">
                  <c:v>17.789109955430746</c:v>
                </c:pt>
                <c:pt idx="116">
                  <c:v>17.671071863329999</c:v>
                </c:pt>
                <c:pt idx="117">
                  <c:v>17.553342543219301</c:v>
                </c:pt>
                <c:pt idx="118">
                  <c:v>17.435918078251362</c:v>
                </c:pt>
                <c:pt idx="119">
                  <c:v>17.318794633669143</c:v>
                </c:pt>
                <c:pt idx="120">
                  <c:v>17.201968454470176</c:v>
                </c:pt>
                <c:pt idx="121">
                  <c:v>17.085435863074196</c:v>
                </c:pt>
                <c:pt idx="122">
                  <c:v>16.969193257076498</c:v>
                </c:pt>
                <c:pt idx="123">
                  <c:v>16.853237107190836</c:v>
                </c:pt>
                <c:pt idx="124">
                  <c:v>16.737563955126234</c:v>
                </c:pt>
                <c:pt idx="125">
                  <c:v>16.622170411605708</c:v>
                </c:pt>
                <c:pt idx="126">
                  <c:v>16.507053154473653</c:v>
                </c:pt>
                <c:pt idx="127">
                  <c:v>16.392208926889239</c:v>
                </c:pt>
                <c:pt idx="128">
                  <c:v>16.277634535423886</c:v>
                </c:pt>
                <c:pt idx="129">
                  <c:v>16.163326848477539</c:v>
                </c:pt>
                <c:pt idx="130">
                  <c:v>16.049282794541</c:v>
                </c:pt>
                <c:pt idx="131">
                  <c:v>15.935499360604865</c:v>
                </c:pt>
                <c:pt idx="132">
                  <c:v>15.821973590638578</c:v>
                </c:pt>
                <c:pt idx="133">
                  <c:v>15.708702584037837</c:v>
                </c:pt>
                <c:pt idx="134">
                  <c:v>15.595683494233441</c:v>
                </c:pt>
                <c:pt idx="135">
                  <c:v>15.482913527293988</c:v>
                </c:pt>
                <c:pt idx="136">
                  <c:v>15.370389940530274</c:v>
                </c:pt>
                <c:pt idx="137">
                  <c:v>15.258110041212703</c:v>
                </c:pt>
                <c:pt idx="138">
                  <c:v>15.146071185303384</c:v>
                </c:pt>
                <c:pt idx="139">
                  <c:v>15.034270776256662</c:v>
                </c:pt>
                <c:pt idx="140">
                  <c:v>14.922706263797707</c:v>
                </c:pt>
                <c:pt idx="141">
                  <c:v>14.81137514279429</c:v>
                </c:pt>
                <c:pt idx="142">
                  <c:v>14.700274952116757</c:v>
                </c:pt>
                <c:pt idx="143">
                  <c:v>14.589403273626118</c:v>
                </c:pt>
                <c:pt idx="144">
                  <c:v>14.478757731074793</c:v>
                </c:pt>
                <c:pt idx="145">
                  <c:v>14.368335989117455</c:v>
                </c:pt>
                <c:pt idx="146">
                  <c:v>14.258135752327547</c:v>
                </c:pt>
                <c:pt idx="147">
                  <c:v>14.148154764251785</c:v>
                </c:pt>
                <c:pt idx="148">
                  <c:v>14.038390806489417</c:v>
                </c:pt>
                <c:pt idx="149">
                  <c:v>13.928841697811791</c:v>
                </c:pt>
                <c:pt idx="150">
                  <c:v>13.819505293259439</c:v>
                </c:pt>
                <c:pt idx="151">
                  <c:v>13.710379483349485</c:v>
                </c:pt>
                <c:pt idx="152">
                  <c:v>13.601462193227633</c:v>
                </c:pt>
                <c:pt idx="153">
                  <c:v>13.492751381893584</c:v>
                </c:pt>
                <c:pt idx="154">
                  <c:v>13.384245041398941</c:v>
                </c:pt>
                <c:pt idx="155">
                  <c:v>13.275941196172468</c:v>
                </c:pt>
                <c:pt idx="156">
                  <c:v>-35.219261970683391</c:v>
                </c:pt>
                <c:pt idx="157">
                  <c:v>-35.32716662639146</c:v>
                </c:pt>
                <c:pt idx="158">
                  <c:v>-35.434874526733211</c:v>
                </c:pt>
                <c:pt idx="159">
                  <c:v>-35.542387525000294</c:v>
                </c:pt>
                <c:pt idx="160">
                  <c:v>-35.649707445571465</c:v>
                </c:pt>
                <c:pt idx="161">
                  <c:v>-35.75683608453997</c:v>
                </c:pt>
                <c:pt idx="162">
                  <c:v>-35.863775210323865</c:v>
                </c:pt>
                <c:pt idx="163">
                  <c:v>-35.970526564259245</c:v>
                </c:pt>
                <c:pt idx="164">
                  <c:v>-36.077091861177536</c:v>
                </c:pt>
                <c:pt idx="165">
                  <c:v>-36.183472789966629</c:v>
                </c:pt>
                <c:pt idx="166">
                  <c:v>-36.289671014117289</c:v>
                </c:pt>
                <c:pt idx="167">
                  <c:v>-36.395688172254523</c:v>
                </c:pt>
                <c:pt idx="168">
                  <c:v>-36.501525878654888</c:v>
                </c:pt>
                <c:pt idx="169">
                  <c:v>-36.607185723750064</c:v>
                </c:pt>
                <c:pt idx="170">
                  <c:v>-36.7126692746169</c:v>
                </c:pt>
                <c:pt idx="171">
                  <c:v>-36.817978075455045</c:v>
                </c:pt>
                <c:pt idx="172">
                  <c:v>-36.923113648051441</c:v>
                </c:pt>
                <c:pt idx="173">
                  <c:v>-37.028077492233422</c:v>
                </c:pt>
                <c:pt idx="174">
                  <c:v>-37.132871086309677</c:v>
                </c:pt>
                <c:pt idx="175">
                  <c:v>-37.237495887499961</c:v>
                </c:pt>
                <c:pt idx="176">
                  <c:v>-37.341953332353995</c:v>
                </c:pt>
                <c:pt idx="177">
                  <c:v>-37.446244837159583</c:v>
                </c:pt>
                <c:pt idx="178">
                  <c:v>-37.55037179834045</c:v>
                </c:pt>
                <c:pt idx="179">
                  <c:v>-37.654335592844149</c:v>
                </c:pt>
                <c:pt idx="180">
                  <c:v>-37.758137578520234</c:v>
                </c:pt>
                <c:pt idx="181">
                  <c:v>-37.861779094489009</c:v>
                </c:pt>
                <c:pt idx="182">
                  <c:v>-37.965261461501314</c:v>
                </c:pt>
                <c:pt idx="183">
                  <c:v>-38.068585982289278</c:v>
                </c:pt>
                <c:pt idx="184">
                  <c:v>-38.171753941908662</c:v>
                </c:pt>
                <c:pt idx="185">
                  <c:v>-38.274766608072838</c:v>
                </c:pt>
                <c:pt idx="186">
                  <c:v>-38.377625231478646</c:v>
                </c:pt>
                <c:pt idx="187">
                  <c:v>-38.480331046124547</c:v>
                </c:pt>
                <c:pt idx="188">
                  <c:v>-38.582885269620959</c:v>
                </c:pt>
                <c:pt idx="189">
                  <c:v>-38.685289103493488</c:v>
                </c:pt>
                <c:pt idx="190">
                  <c:v>-38.787543733478742</c:v>
                </c:pt>
                <c:pt idx="191">
                  <c:v>-38.88965032981335</c:v>
                </c:pt>
                <c:pt idx="192">
                  <c:v>-38.991610047516048</c:v>
                </c:pt>
                <c:pt idx="193">
                  <c:v>-39.093424026663456</c:v>
                </c:pt>
                <c:pt idx="194">
                  <c:v>-39.195093392659146</c:v>
                </c:pt>
                <c:pt idx="195">
                  <c:v>-39.296619256496825</c:v>
                </c:pt>
                <c:pt idx="196">
                  <c:v>-39.398002715017157</c:v>
                </c:pt>
                <c:pt idx="197">
                  <c:v>-39.499244851159091</c:v>
                </c:pt>
                <c:pt idx="198">
                  <c:v>-39.60034673420509</c:v>
                </c:pt>
                <c:pt idx="199">
                  <c:v>-39.701309420021232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6D5A-4CEC-B44E-05B894795906}"/>
            </c:ext>
          </c:extLst>
        </c:ser>
        <c:ser>
          <c:idx val="19"/>
          <c:order val="19"/>
          <c:tx>
            <c:strRef>
              <c:f>Calculate!$U$1</c:f>
              <c:strCache>
                <c:ptCount val="1"/>
                <c:pt idx="0">
                  <c:v>SNRdB_ds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Calculate!$U$2:$U$201</c:f>
              <c:numCache>
                <c:formatCode>0.00</c:formatCode>
                <c:ptCount val="200"/>
                <c:pt idx="0">
                  <c:v>38.308094845483907</c:v>
                </c:pt>
                <c:pt idx="1">
                  <c:v>37.615035380338654</c:v>
                </c:pt>
                <c:pt idx="2">
                  <c:v>37.072614802114288</c:v>
                </c:pt>
                <c:pt idx="3">
                  <c:v>36.608170649627539</c:v>
                </c:pt>
                <c:pt idx="4">
                  <c:v>36.193557730285761</c:v>
                </c:pt>
                <c:pt idx="5">
                  <c:v>35.81434147582172</c:v>
                </c:pt>
                <c:pt idx="6">
                  <c:v>35.461947090582299</c:v>
                </c:pt>
                <c:pt idx="7">
                  <c:v>35.130787620838177</c:v>
                </c:pt>
                <c:pt idx="8">
                  <c:v>34.816982355271534</c:v>
                </c:pt>
                <c:pt idx="9">
                  <c:v>34.517705771598116</c:v>
                </c:pt>
                <c:pt idx="10">
                  <c:v>34.230824828722149</c:v>
                </c:pt>
                <c:pt idx="11">
                  <c:v>33.954682365890349</c:v>
                </c:pt>
                <c:pt idx="12">
                  <c:v>33.687960530156886</c:v>
                </c:pt>
                <c:pt idx="13">
                  <c:v>33.429590811410975</c:v>
                </c:pt>
                <c:pt idx="14">
                  <c:v>33.178692604122162</c:v>
                </c:pt>
                <c:pt idx="15">
                  <c:v>32.934529962417628</c:v>
                </c:pt>
                <c:pt idx="16">
                  <c:v>32.69648036744826</c:v>
                </c:pt>
                <c:pt idx="17">
                  <c:v>32.464011664340461</c:v>
                </c:pt>
                <c:pt idx="18">
                  <c:v>32.236664699479164</c:v>
                </c:pt>
                <c:pt idx="19">
                  <c:v>32.014040025235929</c:v>
                </c:pt>
                <c:pt idx="20">
                  <c:v>31.795787564809117</c:v>
                </c:pt>
                <c:pt idx="21">
                  <c:v>31.58159846946262</c:v>
                </c:pt>
                <c:pt idx="22">
                  <c:v>31.371198625164993</c:v>
                </c:pt>
                <c:pt idx="23">
                  <c:v>31.164343417807942</c:v>
                </c:pt>
                <c:pt idx="24">
                  <c:v>30.960813471064895</c:v>
                </c:pt>
                <c:pt idx="25">
                  <c:v>30.760411144758933</c:v>
                </c:pt>
                <c:pt idx="26">
                  <c:v>30.562957634170573</c:v>
                </c:pt>
                <c:pt idx="27">
                  <c:v>30.368290548831339</c:v>
                </c:pt>
                <c:pt idx="28">
                  <c:v>30.176261877372099</c:v>
                </c:pt>
                <c:pt idx="29">
                  <c:v>29.986736265738102</c:v>
                </c:pt>
                <c:pt idx="30">
                  <c:v>29.799589551748426</c:v>
                </c:pt>
                <c:pt idx="31">
                  <c:v>29.614707510842265</c:v>
                </c:pt>
                <c:pt idx="32">
                  <c:v>29.431984776956028</c:v>
                </c:pt>
                <c:pt idx="33">
                  <c:v>29.251323909548901</c:v>
                </c:pt>
                <c:pt idx="34">
                  <c:v>29.072634583280916</c:v>
                </c:pt>
                <c:pt idx="35">
                  <c:v>28.895832881214218</c:v>
                </c:pt>
                <c:pt idx="36">
                  <c:v>28.720840675774355</c:v>
                </c:pt>
                <c:pt idx="37">
                  <c:v>28.547585084570358</c:v>
                </c:pt>
                <c:pt idx="38">
                  <c:v>28.375997990239441</c:v>
                </c:pt>
                <c:pt idx="39">
                  <c:v>28.206015615367306</c:v>
                </c:pt>
                <c:pt idx="40">
                  <c:v>28.037578144985545</c:v>
                </c:pt>
                <c:pt idx="41">
                  <c:v>27.870629390238349</c:v>
                </c:pt>
                <c:pt idx="42">
                  <c:v>27.705116487888702</c:v>
                </c:pt>
                <c:pt idx="43">
                  <c:v>27.540989631114172</c:v>
                </c:pt>
                <c:pt idx="44">
                  <c:v>27.378201827689423</c:v>
                </c:pt>
                <c:pt idx="45">
                  <c:v>27.216708682217302</c:v>
                </c:pt>
                <c:pt idx="46">
                  <c:v>27.056468199551659</c:v>
                </c:pt>
                <c:pt idx="47">
                  <c:v>26.897440606955968</c:v>
                </c:pt>
                <c:pt idx="48">
                  <c:v>26.739588192863124</c:v>
                </c:pt>
                <c:pt idx="49">
                  <c:v>26.582875160349531</c:v>
                </c:pt>
                <c:pt idx="50">
                  <c:v>26.427267493750918</c:v>
                </c:pt>
                <c:pt idx="51">
                  <c:v>26.272732836986918</c:v>
                </c:pt>
                <c:pt idx="52">
                  <c:v>26.119240382365973</c:v>
                </c:pt>
                <c:pt idx="53">
                  <c:v>25.966760768798281</c:v>
                </c:pt>
                <c:pt idx="54">
                  <c:v>25.815265988454598</c:v>
                </c:pt>
                <c:pt idx="55">
                  <c:v>25.664729300995816</c:v>
                </c:pt>
                <c:pt idx="56">
                  <c:v>25.515125154720835</c:v>
                </c:pt>
                <c:pt idx="57">
                  <c:v>25.36642911388418</c:v>
                </c:pt>
                <c:pt idx="58">
                  <c:v>25.218617791597296</c:v>
                </c:pt>
                <c:pt idx="59">
                  <c:v>25.071668787920842</c:v>
                </c:pt>
                <c:pt idx="60">
                  <c:v>24.925560632459806</c:v>
                </c:pt>
                <c:pt idx="61">
                  <c:v>24.78027273127168</c:v>
                </c:pt>
                <c:pt idx="62">
                  <c:v>24.635785317588955</c:v>
                </c:pt>
                <c:pt idx="63">
                  <c:v>24.492079406016387</c:v>
                </c:pt>
                <c:pt idx="64">
                  <c:v>24.349136749959229</c:v>
                </c:pt>
                <c:pt idx="65">
                  <c:v>24.206939802027279</c:v>
                </c:pt>
                <c:pt idx="66">
                  <c:v>24.065471677033855</c:v>
                </c:pt>
                <c:pt idx="67">
                  <c:v>23.924716117577518</c:v>
                </c:pt>
                <c:pt idx="68">
                  <c:v>23.784657461809559</c:v>
                </c:pt>
                <c:pt idx="69">
                  <c:v>23.645280613343985</c:v>
                </c:pt>
                <c:pt idx="70">
                  <c:v>23.506571013098792</c:v>
                </c:pt>
                <c:pt idx="71">
                  <c:v>23.368514612858078</c:v>
                </c:pt>
                <c:pt idx="72">
                  <c:v>23.231097850560388</c:v>
                </c:pt>
                <c:pt idx="73">
                  <c:v>23.09430762704875</c:v>
                </c:pt>
                <c:pt idx="74">
                  <c:v>22.958131284243308</c:v>
                </c:pt>
                <c:pt idx="75">
                  <c:v>22.822556584642726</c:v>
                </c:pt>
                <c:pt idx="76">
                  <c:v>22.687571691990684</c:v>
                </c:pt>
                <c:pt idx="77">
                  <c:v>22.553165153136263</c:v>
                </c:pt>
                <c:pt idx="78">
                  <c:v>22.419325880835316</c:v>
                </c:pt>
                <c:pt idx="79">
                  <c:v>22.28604313765085</c:v>
                </c:pt>
                <c:pt idx="80">
                  <c:v>22.15330652066524</c:v>
                </c:pt>
                <c:pt idx="81">
                  <c:v>22.021105947055645</c:v>
                </c:pt>
                <c:pt idx="82">
                  <c:v>21.889431640514005</c:v>
                </c:pt>
                <c:pt idx="83">
                  <c:v>21.758274118302111</c:v>
                </c:pt>
                <c:pt idx="84">
                  <c:v>21.627624179111393</c:v>
                </c:pt>
                <c:pt idx="85">
                  <c:v>21.497472891481721</c:v>
                </c:pt>
                <c:pt idx="86">
                  <c:v>21.367811582828054</c:v>
                </c:pt>
                <c:pt idx="87">
                  <c:v>21.238631829105245</c:v>
                </c:pt>
                <c:pt idx="88">
                  <c:v>21.109925444916257</c:v>
                </c:pt>
                <c:pt idx="89">
                  <c:v>20.981684474146988</c:v>
                </c:pt>
                <c:pt idx="90">
                  <c:v>20.853901181101378</c:v>
                </c:pt>
                <c:pt idx="91">
                  <c:v>20.726568042019096</c:v>
                </c:pt>
                <c:pt idx="92">
                  <c:v>20.599677737052104</c:v>
                </c:pt>
                <c:pt idx="93">
                  <c:v>20.473223142612298</c:v>
                </c:pt>
                <c:pt idx="94">
                  <c:v>20.347197324067679</c:v>
                </c:pt>
                <c:pt idx="95">
                  <c:v>20.221593528803908</c:v>
                </c:pt>
                <c:pt idx="96">
                  <c:v>20.096405179612162</c:v>
                </c:pt>
                <c:pt idx="97">
                  <c:v>19.971625868374815</c:v>
                </c:pt>
                <c:pt idx="98">
                  <c:v>19.847249350019325</c:v>
                </c:pt>
                <c:pt idx="99">
                  <c:v>19.723269536820396</c:v>
                </c:pt>
                <c:pt idx="100">
                  <c:v>19.59968049284052</c:v>
                </c:pt>
                <c:pt idx="101">
                  <c:v>19.476476428733633</c:v>
                </c:pt>
                <c:pt idx="102">
                  <c:v>19.353651696706777</c:v>
                </c:pt>
                <c:pt idx="103">
                  <c:v>19.231200785705568</c:v>
                </c:pt>
                <c:pt idx="104">
                  <c:v>19.109118316875964</c:v>
                </c:pt>
                <c:pt idx="105">
                  <c:v>18.987399039093134</c:v>
                </c:pt>
                <c:pt idx="106">
                  <c:v>18.866037824816829</c:v>
                </c:pt>
                <c:pt idx="107">
                  <c:v>18.745029666033972</c:v>
                </c:pt>
                <c:pt idx="108">
                  <c:v>18.624369670380503</c:v>
                </c:pt>
                <c:pt idx="109">
                  <c:v>18.504053057471893</c:v>
                </c:pt>
                <c:pt idx="110">
                  <c:v>18.384075155297268</c:v>
                </c:pt>
                <c:pt idx="111">
                  <c:v>18.264431396853752</c:v>
                </c:pt>
                <c:pt idx="112">
                  <c:v>18.145117316868181</c:v>
                </c:pt>
                <c:pt idx="113">
                  <c:v>18.026128548634404</c:v>
                </c:pt>
                <c:pt idx="114">
                  <c:v>17.907460820994501</c:v>
                </c:pt>
                <c:pt idx="115">
                  <c:v>17.789109955430746</c:v>
                </c:pt>
                <c:pt idx="116">
                  <c:v>17.671071863329999</c:v>
                </c:pt>
                <c:pt idx="117">
                  <c:v>17.553342543219301</c:v>
                </c:pt>
                <c:pt idx="118">
                  <c:v>17.435918078251362</c:v>
                </c:pt>
                <c:pt idx="119">
                  <c:v>17.318794633669143</c:v>
                </c:pt>
                <c:pt idx="120">
                  <c:v>17.201968454470176</c:v>
                </c:pt>
                <c:pt idx="121">
                  <c:v>17.085435863074196</c:v>
                </c:pt>
                <c:pt idx="122">
                  <c:v>16.969193257076498</c:v>
                </c:pt>
                <c:pt idx="123">
                  <c:v>16.853237107190836</c:v>
                </c:pt>
                <c:pt idx="124">
                  <c:v>16.737563955126234</c:v>
                </c:pt>
                <c:pt idx="125">
                  <c:v>16.622170411605708</c:v>
                </c:pt>
                <c:pt idx="126">
                  <c:v>16.507053154473653</c:v>
                </c:pt>
                <c:pt idx="127">
                  <c:v>16.392208926889239</c:v>
                </c:pt>
                <c:pt idx="128">
                  <c:v>16.277634535423886</c:v>
                </c:pt>
                <c:pt idx="129">
                  <c:v>16.163326848477539</c:v>
                </c:pt>
                <c:pt idx="130">
                  <c:v>16.049282794541</c:v>
                </c:pt>
                <c:pt idx="131">
                  <c:v>15.935499360604865</c:v>
                </c:pt>
                <c:pt idx="132">
                  <c:v>15.821973590638578</c:v>
                </c:pt>
                <c:pt idx="133">
                  <c:v>15.708702584037837</c:v>
                </c:pt>
                <c:pt idx="134">
                  <c:v>15.595683494233441</c:v>
                </c:pt>
                <c:pt idx="135">
                  <c:v>15.482913527293988</c:v>
                </c:pt>
                <c:pt idx="136">
                  <c:v>15.370389940530274</c:v>
                </c:pt>
                <c:pt idx="137">
                  <c:v>15.258110041212703</c:v>
                </c:pt>
                <c:pt idx="138">
                  <c:v>15.146071185303384</c:v>
                </c:pt>
                <c:pt idx="139">
                  <c:v>15.034270776256662</c:v>
                </c:pt>
                <c:pt idx="140">
                  <c:v>14.922706263797707</c:v>
                </c:pt>
                <c:pt idx="141">
                  <c:v>14.81137514279429</c:v>
                </c:pt>
                <c:pt idx="142">
                  <c:v>14.700274952116757</c:v>
                </c:pt>
                <c:pt idx="143">
                  <c:v>14.589403273626118</c:v>
                </c:pt>
                <c:pt idx="144">
                  <c:v>14.478757731074793</c:v>
                </c:pt>
                <c:pt idx="145">
                  <c:v>14.368335989117455</c:v>
                </c:pt>
                <c:pt idx="146">
                  <c:v>14.258135752327547</c:v>
                </c:pt>
                <c:pt idx="147">
                  <c:v>14.148154764251785</c:v>
                </c:pt>
                <c:pt idx="148">
                  <c:v>14.038390806489417</c:v>
                </c:pt>
                <c:pt idx="149">
                  <c:v>13.928841697811791</c:v>
                </c:pt>
                <c:pt idx="150">
                  <c:v>13.819505293259439</c:v>
                </c:pt>
                <c:pt idx="151">
                  <c:v>13.710379483349485</c:v>
                </c:pt>
                <c:pt idx="152">
                  <c:v>13.601462193227633</c:v>
                </c:pt>
                <c:pt idx="153">
                  <c:v>13.492751381893584</c:v>
                </c:pt>
                <c:pt idx="154">
                  <c:v>13.384245041398941</c:v>
                </c:pt>
                <c:pt idx="155">
                  <c:v>13.275941196172468</c:v>
                </c:pt>
                <c:pt idx="156">
                  <c:v>-35.219261970683391</c:v>
                </c:pt>
                <c:pt idx="157">
                  <c:v>-35.32716662639146</c:v>
                </c:pt>
                <c:pt idx="158">
                  <c:v>-35.434874526733211</c:v>
                </c:pt>
                <c:pt idx="159">
                  <c:v>-35.542387525000294</c:v>
                </c:pt>
                <c:pt idx="160">
                  <c:v>-35.649707445571465</c:v>
                </c:pt>
                <c:pt idx="161">
                  <c:v>-35.75683608453997</c:v>
                </c:pt>
                <c:pt idx="162">
                  <c:v>-35.863775210323865</c:v>
                </c:pt>
                <c:pt idx="163">
                  <c:v>-35.970526564259245</c:v>
                </c:pt>
                <c:pt idx="164">
                  <c:v>-36.077091861177536</c:v>
                </c:pt>
                <c:pt idx="165">
                  <c:v>-36.183472789966629</c:v>
                </c:pt>
                <c:pt idx="166">
                  <c:v>-36.289671014117289</c:v>
                </c:pt>
                <c:pt idx="167">
                  <c:v>-36.395688172254523</c:v>
                </c:pt>
                <c:pt idx="168">
                  <c:v>-36.501525878654888</c:v>
                </c:pt>
                <c:pt idx="169">
                  <c:v>-36.607185723750064</c:v>
                </c:pt>
                <c:pt idx="170">
                  <c:v>-36.7126692746169</c:v>
                </c:pt>
                <c:pt idx="171">
                  <c:v>-36.817978075455045</c:v>
                </c:pt>
                <c:pt idx="172">
                  <c:v>-36.923113648051441</c:v>
                </c:pt>
                <c:pt idx="173">
                  <c:v>-37.028077492233422</c:v>
                </c:pt>
                <c:pt idx="174">
                  <c:v>-37.132871086309677</c:v>
                </c:pt>
                <c:pt idx="175">
                  <c:v>-37.237495887499961</c:v>
                </c:pt>
                <c:pt idx="176">
                  <c:v>-37.341953332353995</c:v>
                </c:pt>
                <c:pt idx="177">
                  <c:v>-37.446244837159583</c:v>
                </c:pt>
                <c:pt idx="178">
                  <c:v>-37.55037179834045</c:v>
                </c:pt>
                <c:pt idx="179">
                  <c:v>-37.654335592844149</c:v>
                </c:pt>
                <c:pt idx="180">
                  <c:v>-37.758137578520234</c:v>
                </c:pt>
                <c:pt idx="181">
                  <c:v>-37.861779094489009</c:v>
                </c:pt>
                <c:pt idx="182">
                  <c:v>-37.965261461501314</c:v>
                </c:pt>
                <c:pt idx="183">
                  <c:v>-38.068585982289278</c:v>
                </c:pt>
                <c:pt idx="184">
                  <c:v>-38.171753941908662</c:v>
                </c:pt>
                <c:pt idx="185">
                  <c:v>-38.274766608072838</c:v>
                </c:pt>
                <c:pt idx="186">
                  <c:v>-38.377625231478646</c:v>
                </c:pt>
                <c:pt idx="187">
                  <c:v>-38.480331046124547</c:v>
                </c:pt>
                <c:pt idx="188">
                  <c:v>-38.582885269620959</c:v>
                </c:pt>
                <c:pt idx="189">
                  <c:v>-38.685289103493488</c:v>
                </c:pt>
                <c:pt idx="190">
                  <c:v>-38.787543733478742</c:v>
                </c:pt>
                <c:pt idx="191">
                  <c:v>-38.88965032981335</c:v>
                </c:pt>
                <c:pt idx="192">
                  <c:v>-38.991610047516048</c:v>
                </c:pt>
                <c:pt idx="193">
                  <c:v>-39.093424026663456</c:v>
                </c:pt>
                <c:pt idx="194">
                  <c:v>-39.195093392659146</c:v>
                </c:pt>
                <c:pt idx="195">
                  <c:v>-39.296619256496825</c:v>
                </c:pt>
                <c:pt idx="196">
                  <c:v>-39.398002715017157</c:v>
                </c:pt>
                <c:pt idx="197">
                  <c:v>-39.499244851159091</c:v>
                </c:pt>
                <c:pt idx="198">
                  <c:v>-39.60034673420509</c:v>
                </c:pt>
                <c:pt idx="199">
                  <c:v>-39.701309420021232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6D5A-4CEC-B44E-05B89479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6D5A-4CEC-B44E-05B89479590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Calculate!$C$2:$C$201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-1.6086600973579019</c:v>
                      </c:pt>
                      <c:pt idx="1">
                        <c:v>-2.3017195625033811</c:v>
                      </c:pt>
                      <c:pt idx="2">
                        <c:v>-2.8441401407273181</c:v>
                      </c:pt>
                      <c:pt idx="3">
                        <c:v>-3.308584293214575</c:v>
                      </c:pt>
                      <c:pt idx="4">
                        <c:v>-3.7231972125563821</c:v>
                      </c:pt>
                      <c:pt idx="5">
                        <c:v>-4.1024134670205363</c:v>
                      </c:pt>
                      <c:pt idx="6">
                        <c:v>-4.4548078522595347</c:v>
                      </c:pt>
                      <c:pt idx="7">
                        <c:v>-4.7859673220043044</c:v>
                      </c:pt>
                      <c:pt idx="8">
                        <c:v>-5.0997725875700182</c:v>
                      </c:pt>
                      <c:pt idx="9">
                        <c:v>-5.3990491712440027</c:v>
                      </c:pt>
                      <c:pt idx="10">
                        <c:v>-5.685930114120759</c:v>
                      </c:pt>
                      <c:pt idx="11">
                        <c:v>-5.9620725769509502</c:v>
                      </c:pt>
                      <c:pt idx="12">
                        <c:v>-6.2287944126856614</c:v>
                      </c:pt>
                      <c:pt idx="13">
                        <c:v>-6.4871641314314834</c:v>
                      </c:pt>
                      <c:pt idx="14">
                        <c:v>-6.7380623387201517</c:v>
                      </c:pt>
                      <c:pt idx="15">
                        <c:v>-6.9822249804242347</c:v>
                      </c:pt>
                      <c:pt idx="16">
                        <c:v>-7.2202745753939679</c:v>
                      </c:pt>
                      <c:pt idx="17">
                        <c:v>-7.4527432785027692</c:v>
                      </c:pt>
                      <c:pt idx="18">
                        <c:v>-7.6800902433629776</c:v>
                      </c:pt>
                      <c:pt idx="19">
                        <c:v>-7.9027149176066178</c:v>
                      </c:pt>
                      <c:pt idx="20">
                        <c:v>-8.1209673780334501</c:v>
                      </c:pt>
                      <c:pt idx="21">
                        <c:v>-8.3351564733807191</c:v>
                      </c:pt>
                      <c:pt idx="22">
                        <c:v>-8.54555631767664</c:v>
                      </c:pt>
                      <c:pt idx="23">
                        <c:v>-8.7524115250336969</c:v>
                      </c:pt>
                      <c:pt idx="24">
                        <c:v>-8.9559414717772192</c:v>
                      </c:pt>
                      <c:pt idx="25">
                        <c:v>-9.1563437980821885</c:v>
                      </c:pt>
                      <c:pt idx="26">
                        <c:v>-9.3537973086708934</c:v>
                      </c:pt>
                      <c:pt idx="27">
                        <c:v>-9.5484643940104643</c:v>
                      </c:pt>
                      <c:pt idx="28">
                        <c:v>-9.7404930654702966</c:v>
                      </c:pt>
                      <c:pt idx="29">
                        <c:v>-9.9300186771046075</c:v>
                      </c:pt>
                      <c:pt idx="30">
                        <c:v>-10.117165391093316</c:v>
                      </c:pt>
                      <c:pt idx="31">
                        <c:v>-10.302047431998776</c:v>
                      </c:pt>
                      <c:pt idx="32">
                        <c:v>-10.484770165885148</c:v>
                      </c:pt>
                      <c:pt idx="33">
                        <c:v>-10.665431033293812</c:v>
                      </c:pt>
                      <c:pt idx="34">
                        <c:v>-10.844120359560939</c:v>
                      </c:pt>
                      <c:pt idx="35">
                        <c:v>-11.020922061628974</c:v>
                      </c:pt>
                      <c:pt idx="36">
                        <c:v>-11.195914267066911</c:v>
                      </c:pt>
                      <c:pt idx="37">
                        <c:v>-11.369169858270054</c:v>
                      </c:pt>
                      <c:pt idx="38">
                        <c:v>-11.540756952604273</c:v>
                      </c:pt>
                      <c:pt idx="39">
                        <c:v>-11.710739327475716</c:v>
                      </c:pt>
                      <c:pt idx="40">
                        <c:v>-11.879176797855802</c:v>
                      </c:pt>
                      <c:pt idx="41">
                        <c:v>-12.046125552604051</c:v>
                      </c:pt>
                      <c:pt idx="42">
                        <c:v>-12.211638454954921</c:v>
                      </c:pt>
                      <c:pt idx="43">
                        <c:v>-12.375765311727999</c:v>
                      </c:pt>
                      <c:pt idx="44">
                        <c:v>-12.538553115150709</c:v>
                      </c:pt>
                      <c:pt idx="45">
                        <c:v>-12.700046260623886</c:v>
                      </c:pt>
                      <c:pt idx="46">
                        <c:v>-12.860286743292132</c:v>
                      </c:pt>
                      <c:pt idx="47">
                        <c:v>-13.019314335887149</c:v>
                      </c:pt>
                      <c:pt idx="48">
                        <c:v>-13.177166749979506</c:v>
                      </c:pt>
                      <c:pt idx="49">
                        <c:v>-13.333879782492327</c:v>
                      </c:pt>
                      <c:pt idx="50">
                        <c:v>-13.489487449090658</c:v>
                      </c:pt>
                      <c:pt idx="51">
                        <c:v>-13.644022105855345</c:v>
                      </c:pt>
                      <c:pt idx="52">
                        <c:v>-13.797514560475067</c:v>
                      </c:pt>
                      <c:pt idx="53">
                        <c:v>-13.949994174039483</c:v>
                      </c:pt>
                      <c:pt idx="54">
                        <c:v>-14.101488954386667</c:v>
                      </c:pt>
                      <c:pt idx="55">
                        <c:v>-14.252025641845758</c:v>
                      </c:pt>
                      <c:pt idx="56">
                        <c:v>-14.401629788118674</c:v>
                      </c:pt>
                      <c:pt idx="57">
                        <c:v>-14.550325828960156</c:v>
                      </c:pt>
                      <c:pt idx="58">
                        <c:v>-14.698137151241845</c:v>
                      </c:pt>
                      <c:pt idx="59">
                        <c:v>-14.845086154921869</c:v>
                      </c:pt>
                      <c:pt idx="60">
                        <c:v>-14.991194310385065</c:v>
                      </c:pt>
                      <c:pt idx="61">
                        <c:v>-15.136482211569669</c:v>
                      </c:pt>
                      <c:pt idx="62">
                        <c:v>-15.280969625252791</c:v>
                      </c:pt>
                      <c:pt idx="63">
                        <c:v>-15.424675536828801</c:v>
                      </c:pt>
                      <c:pt idx="64">
                        <c:v>-15.567618192880904</c:v>
                      </c:pt>
                      <c:pt idx="65">
                        <c:v>-15.709815140816211</c:v>
                      </c:pt>
                      <c:pt idx="66">
                        <c:v>-15.851283265808258</c:v>
                      </c:pt>
                      <c:pt idx="67">
                        <c:v>-15.992038825267043</c:v>
                      </c:pt>
                      <c:pt idx="68">
                        <c:v>-16.132097481036062</c:v>
                      </c:pt>
                      <c:pt idx="69">
                        <c:v>-16.271474329496741</c:v>
                      </c:pt>
                      <c:pt idx="70">
                        <c:v>-16.410183929744232</c:v>
                      </c:pt>
                      <c:pt idx="71">
                        <c:v>-16.548240329983415</c:v>
                      </c:pt>
                      <c:pt idx="72">
                        <c:v>-16.685657092280653</c:v>
                      </c:pt>
                      <c:pt idx="73">
                        <c:v>-16.822447315794733</c:v>
                      </c:pt>
                      <c:pt idx="74">
                        <c:v>-16.95862365859972</c:v>
                      </c:pt>
                      <c:pt idx="75">
                        <c:v>-17.0941983582026</c:v>
                      </c:pt>
                      <c:pt idx="76">
                        <c:v>-17.229183250849935</c:v>
                      </c:pt>
                      <c:pt idx="77">
                        <c:v>-17.36358978970966</c:v>
                      </c:pt>
                      <c:pt idx="78">
                        <c:v>-17.497429062007249</c:v>
                      </c:pt>
                      <c:pt idx="79">
                        <c:v>-17.630711805188653</c:v>
                      </c:pt>
                      <c:pt idx="80">
                        <c:v>-17.763448422176872</c:v>
                      </c:pt>
                      <c:pt idx="81">
                        <c:v>-17.895648995783404</c:v>
                      </c:pt>
                      <c:pt idx="82">
                        <c:v>-18.02732330233119</c:v>
                      </c:pt>
                      <c:pt idx="83">
                        <c:v>-18.15848082454109</c:v>
                      </c:pt>
                      <c:pt idx="84">
                        <c:v>-18.289130763729958</c:v>
                      </c:pt>
                      <c:pt idx="85">
                        <c:v>-18.419282051364839</c:v>
                      </c:pt>
                      <c:pt idx="86">
                        <c:v>-18.548943360014206</c:v>
                      </c:pt>
                      <c:pt idx="87">
                        <c:v>-18.678123113734397</c:v>
                      </c:pt>
                      <c:pt idx="88">
                        <c:v>-18.806829497926316</c:v>
                      </c:pt>
                      <c:pt idx="89">
                        <c:v>-18.935070468695137</c:v>
                      </c:pt>
                      <c:pt idx="90">
                        <c:v>-19.06285376174333</c:v>
                      </c:pt>
                      <c:pt idx="91">
                        <c:v>-19.190186900825008</c:v>
                      </c:pt>
                      <c:pt idx="92">
                        <c:v>-19.317077205787875</c:v>
                      </c:pt>
                      <c:pt idx="93">
                        <c:v>-19.443531800227067</c:v>
                      </c:pt>
                      <c:pt idx="94">
                        <c:v>-19.569557618773501</c:v>
                      </c:pt>
                      <c:pt idx="95">
                        <c:v>-19.695161414037898</c:v>
                      </c:pt>
                      <c:pt idx="96">
                        <c:v>-19.820349763230091</c:v>
                      </c:pt>
                      <c:pt idx="97">
                        <c:v>-19.94512907447205</c:v>
                      </c:pt>
                      <c:pt idx="98">
                        <c:v>-20.069505592821717</c:v>
                      </c:pt>
                      <c:pt idx="99">
                        <c:v>-20.193485406023711</c:v>
                      </c:pt>
                      <c:pt idx="100">
                        <c:v>-20.317074450001879</c:v>
                      </c:pt>
                      <c:pt idx="101">
                        <c:v>-20.440278514107721</c:v>
                      </c:pt>
                      <c:pt idx="102">
                        <c:v>-20.563103246137786</c:v>
                      </c:pt>
                      <c:pt idx="103">
                        <c:v>-20.685554157132422</c:v>
                      </c:pt>
                      <c:pt idx="104">
                        <c:v>-20.807636625967373</c:v>
                      </c:pt>
                      <c:pt idx="105">
                        <c:v>-20.929355903748981</c:v>
                      </c:pt>
                      <c:pt idx="106">
                        <c:v>-21.050717118023307</c:v>
                      </c:pt>
                      <c:pt idx="107">
                        <c:v>-21.171725276808601</c:v>
                      </c:pt>
                      <c:pt idx="108">
                        <c:v>-21.292385272460113</c:v>
                      </c:pt>
                      <c:pt idx="109">
                        <c:v>-21.412701885375736</c:v>
                      </c:pt>
                      <c:pt idx="110">
                        <c:v>-21.532679787550371</c:v>
                      </c:pt>
                      <c:pt idx="111">
                        <c:v>-21.652323545986516</c:v>
                      </c:pt>
                      <c:pt idx="112">
                        <c:v>-21.771637625968111</c:v>
                      </c:pt>
                      <c:pt idx="113">
                        <c:v>-21.890626394204336</c:v>
                      </c:pt>
                      <c:pt idx="114">
                        <c:v>-22.009294121849464</c:v>
                      </c:pt>
                      <c:pt idx="115">
                        <c:v>-22.127644987404953</c:v>
                      </c:pt>
                      <c:pt idx="116">
                        <c:v>-22.24568307950905</c:v>
                      </c:pt>
                      <c:pt idx="117">
                        <c:v>-22.363412399619431</c:v>
                      </c:pt>
                      <c:pt idx="118">
                        <c:v>-22.480836864593659</c:v>
                      </c:pt>
                      <c:pt idx="119">
                        <c:v>-22.597960309172343</c:v>
                      </c:pt>
                      <c:pt idx="120">
                        <c:v>-22.714786488369324</c:v>
                      </c:pt>
                      <c:pt idx="121">
                        <c:v>-22.831319079773127</c:v>
                      </c:pt>
                      <c:pt idx="122">
                        <c:v>-22.94756168576377</c:v>
                      </c:pt>
                      <c:pt idx="123">
                        <c:v>-23.063517835648533</c:v>
                      </c:pt>
                      <c:pt idx="124">
                        <c:v>-23.179190987720457</c:v>
                      </c:pt>
                      <c:pt idx="125">
                        <c:v>-23.294584531242826</c:v>
                      </c:pt>
                      <c:pt idx="126">
                        <c:v>-23.409701788362948</c:v>
                      </c:pt>
                      <c:pt idx="127">
                        <c:v>-23.524546015958222</c:v>
                      </c:pt>
                      <c:pt idx="128">
                        <c:v>-23.639120407417458</c:v>
                      </c:pt>
                      <c:pt idx="129">
                        <c:v>-23.753428094360146</c:v>
                      </c:pt>
                      <c:pt idx="130">
                        <c:v>-23.867472148296368</c:v>
                      </c:pt>
                      <c:pt idx="131">
                        <c:v>-23.981255582229743</c:v>
                      </c:pt>
                      <c:pt idx="132">
                        <c:v>-24.09478135220585</c:v>
                      </c:pt>
                      <c:pt idx="133">
                        <c:v>-24.208052358808398</c:v>
                      </c:pt>
                      <c:pt idx="134">
                        <c:v>-24.321071448605146</c:v>
                      </c:pt>
                      <c:pt idx="135">
                        <c:v>-24.433841415545835</c:v>
                      </c:pt>
                      <c:pt idx="136">
                        <c:v>-24.546365002313831</c:v>
                      </c:pt>
                      <c:pt idx="137">
                        <c:v>-24.65864490163354</c:v>
                      </c:pt>
                      <c:pt idx="138">
                        <c:v>-24.770683757535203</c:v>
                      </c:pt>
                      <c:pt idx="139">
                        <c:v>-24.882484166578863</c:v>
                      </c:pt>
                      <c:pt idx="140">
                        <c:v>-24.994048679039036</c:v>
                      </c:pt>
                      <c:pt idx="141">
                        <c:v>-25.105379800051633</c:v>
                      </c:pt>
                      <c:pt idx="142">
                        <c:v>-25.216479990724597</c:v>
                      </c:pt>
                      <c:pt idx="143">
                        <c:v>-25.327351669213702</c:v>
                      </c:pt>
                      <c:pt idx="144">
                        <c:v>-25.437997211764706</c:v>
                      </c:pt>
                      <c:pt idx="145">
                        <c:v>-25.548418953723271</c:v>
                      </c:pt>
                      <c:pt idx="146">
                        <c:v>-25.658619190513797</c:v>
                      </c:pt>
                      <c:pt idx="147">
                        <c:v>-25.768600178588343</c:v>
                      </c:pt>
                      <c:pt idx="148">
                        <c:v>-25.878364136346736</c:v>
                      </c:pt>
                      <c:pt idx="149">
                        <c:v>-25.987913245028935</c:v>
                      </c:pt>
                      <c:pt idx="150">
                        <c:v>-26.097249649580686</c:v>
                      </c:pt>
                      <c:pt idx="151">
                        <c:v>-26.206375459493401</c:v>
                      </c:pt>
                      <c:pt idx="152">
                        <c:v>-26.315292749619225</c:v>
                      </c:pt>
                      <c:pt idx="153">
                        <c:v>-26.424003560962149</c:v>
                      </c:pt>
                      <c:pt idx="154">
                        <c:v>-26.53250990144608</c:v>
                      </c:pt>
                      <c:pt idx="155">
                        <c:v>-26.640813746660616</c:v>
                      </c:pt>
                      <c:pt idx="156">
                        <c:v>-26.74891704058534</c:v>
                      </c:pt>
                      <c:pt idx="157">
                        <c:v>-26.856821696293423</c:v>
                      </c:pt>
                      <c:pt idx="158">
                        <c:v>-26.964529596635167</c:v>
                      </c:pt>
                      <c:pt idx="159">
                        <c:v>-27.072042594902268</c:v>
                      </c:pt>
                      <c:pt idx="160">
                        <c:v>-27.179362515473436</c:v>
                      </c:pt>
                      <c:pt idx="161">
                        <c:v>-27.28649115444194</c:v>
                      </c:pt>
                      <c:pt idx="162">
                        <c:v>-27.393430280225818</c:v>
                      </c:pt>
                      <c:pt idx="163">
                        <c:v>-27.500181634161216</c:v>
                      </c:pt>
                      <c:pt idx="164">
                        <c:v>-27.606746931079485</c:v>
                      </c:pt>
                      <c:pt idx="165">
                        <c:v>-27.713127859868582</c:v>
                      </c:pt>
                      <c:pt idx="166">
                        <c:v>-27.819326084019245</c:v>
                      </c:pt>
                      <c:pt idx="167">
                        <c:v>-27.92534324215648</c:v>
                      </c:pt>
                      <c:pt idx="168">
                        <c:v>-28.031180948556852</c:v>
                      </c:pt>
                      <c:pt idx="169">
                        <c:v>-28.136840793652013</c:v>
                      </c:pt>
                      <c:pt idx="170">
                        <c:v>-28.242324344518877</c:v>
                      </c:pt>
                      <c:pt idx="171">
                        <c:v>-28.347633145356994</c:v>
                      </c:pt>
                      <c:pt idx="172">
                        <c:v>-28.452768717953397</c:v>
                      </c:pt>
                      <c:pt idx="173">
                        <c:v>-28.557732562135392</c:v>
                      </c:pt>
                      <c:pt idx="174">
                        <c:v>-28.662526156211637</c:v>
                      </c:pt>
                      <c:pt idx="175">
                        <c:v>-28.767150957401917</c:v>
                      </c:pt>
                      <c:pt idx="176">
                        <c:v>-28.871608402255951</c:v>
                      </c:pt>
                      <c:pt idx="177">
                        <c:v>-28.975899907061535</c:v>
                      </c:pt>
                      <c:pt idx="178">
                        <c:v>-29.080026868242406</c:v>
                      </c:pt>
                      <c:pt idx="179">
                        <c:v>-29.183990662746108</c:v>
                      </c:pt>
                      <c:pt idx="180">
                        <c:v>-29.287792648422194</c:v>
                      </c:pt>
                      <c:pt idx="181">
                        <c:v>-29.391434164390979</c:v>
                      </c:pt>
                      <c:pt idx="182">
                        <c:v>-29.49491653140328</c:v>
                      </c:pt>
                      <c:pt idx="183">
                        <c:v>-29.598241052191238</c:v>
                      </c:pt>
                      <c:pt idx="184">
                        <c:v>-29.701409011810622</c:v>
                      </c:pt>
                      <c:pt idx="185">
                        <c:v>-29.804421677974794</c:v>
                      </c:pt>
                      <c:pt idx="186">
                        <c:v>-29.907280301380609</c:v>
                      </c:pt>
                      <c:pt idx="187">
                        <c:v>-30.0099861160265</c:v>
                      </c:pt>
                      <c:pt idx="188">
                        <c:v>-30.112540339522923</c:v>
                      </c:pt>
                      <c:pt idx="189">
                        <c:v>-30.214944173395448</c:v>
                      </c:pt>
                      <c:pt idx="190">
                        <c:v>-30.317198803380709</c:v>
                      </c:pt>
                      <c:pt idx="191">
                        <c:v>-30.419305399715306</c:v>
                      </c:pt>
                      <c:pt idx="192">
                        <c:v>-30.521265117418015</c:v>
                      </c:pt>
                      <c:pt idx="193">
                        <c:v>-30.623079096565419</c:v>
                      </c:pt>
                      <c:pt idx="194">
                        <c:v>-30.72474846256112</c:v>
                      </c:pt>
                      <c:pt idx="195">
                        <c:v>-30.826274326398789</c:v>
                      </c:pt>
                      <c:pt idx="196">
                        <c:v>-30.92765778491912</c:v>
                      </c:pt>
                      <c:pt idx="197">
                        <c:v>-31.028899921061043</c:v>
                      </c:pt>
                      <c:pt idx="198">
                        <c:v>-31.130001804107057</c:v>
                      </c:pt>
                      <c:pt idx="199">
                        <c:v>-31.230964489923203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5A-4CEC-B44E-05B89479590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Calculate!$D$2:$D$201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5A-4CEC-B44E-05B89479590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5A-4CEC-B44E-05B894795906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D5A-4CEC-B44E-05B894795906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5A-4CEC-B44E-05B894795906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D5A-4CEC-B44E-05B894795906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D5A-4CEC-B44E-05B894795906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D5A-4CEC-B44E-05B894795906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D5A-4CEC-B44E-05B894795906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D5A-4CEC-B44E-05B894795906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D5A-4CEC-B44E-05B894795906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D5A-4CEC-B44E-05B894795906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D5A-4CEC-B44E-05B894795906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D5A-4CEC-B44E-05B894795906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D5A-4CEC-B44E-05B894795906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D5A-4CEC-B44E-05B894795906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D5A-4CEC-B44E-05B894795906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D5A-4CEC-B44E-05B894795906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D5A-4CEC-B44E-05B894795906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Signal and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6"/>
          <c:order val="4"/>
          <c:tx>
            <c:strRef>
              <c:f>Calculate!$R$1</c:f>
              <c:strCache>
                <c:ptCount val="1"/>
                <c:pt idx="0">
                  <c:v>Noise_us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Calculate!$R$2:$R$201</c:f>
              <c:numCache>
                <c:formatCode>0.00</c:formatCode>
                <c:ptCount val="200"/>
                <c:pt idx="0">
                  <c:v>-138.38708034075637</c:v>
                </c:pt>
                <c:pt idx="1">
                  <c:v>-138.3870803407566</c:v>
                </c:pt>
                <c:pt idx="2">
                  <c:v>-138.38708034075617</c:v>
                </c:pt>
                <c:pt idx="3">
                  <c:v>-138.38708034075668</c:v>
                </c:pt>
                <c:pt idx="4">
                  <c:v>-138.38708034075671</c:v>
                </c:pt>
                <c:pt idx="5">
                  <c:v>-138.38708034075682</c:v>
                </c:pt>
                <c:pt idx="6">
                  <c:v>-138.3870803407564</c:v>
                </c:pt>
                <c:pt idx="7">
                  <c:v>-138.38708034075705</c:v>
                </c:pt>
                <c:pt idx="8">
                  <c:v>-138.38708034075611</c:v>
                </c:pt>
                <c:pt idx="9">
                  <c:v>-138.38708034075668</c:v>
                </c:pt>
                <c:pt idx="10">
                  <c:v>-138.38708034075748</c:v>
                </c:pt>
                <c:pt idx="11">
                  <c:v>-138.38708034075586</c:v>
                </c:pt>
                <c:pt idx="12">
                  <c:v>-138.38708034075711</c:v>
                </c:pt>
                <c:pt idx="13">
                  <c:v>-138.38708034075702</c:v>
                </c:pt>
                <c:pt idx="14">
                  <c:v>-138.38708034075688</c:v>
                </c:pt>
                <c:pt idx="15">
                  <c:v>-138.38708034075643</c:v>
                </c:pt>
                <c:pt idx="16">
                  <c:v>-138.3870803407568</c:v>
                </c:pt>
                <c:pt idx="17">
                  <c:v>-138.38708034075779</c:v>
                </c:pt>
                <c:pt idx="18">
                  <c:v>-138.38708034075671</c:v>
                </c:pt>
                <c:pt idx="19">
                  <c:v>-138.38708034075711</c:v>
                </c:pt>
                <c:pt idx="20">
                  <c:v>-138.38708034075714</c:v>
                </c:pt>
                <c:pt idx="21">
                  <c:v>-138.3870803407579</c:v>
                </c:pt>
                <c:pt idx="22">
                  <c:v>-138.3870803407562</c:v>
                </c:pt>
                <c:pt idx="23">
                  <c:v>-138.3870803407562</c:v>
                </c:pt>
                <c:pt idx="24">
                  <c:v>-138.38708034075668</c:v>
                </c:pt>
                <c:pt idx="25">
                  <c:v>-138.38708034075569</c:v>
                </c:pt>
                <c:pt idx="26">
                  <c:v>-138.38708034075603</c:v>
                </c:pt>
                <c:pt idx="27">
                  <c:v>-138.38708034075637</c:v>
                </c:pt>
                <c:pt idx="28">
                  <c:v>-138.38708034075697</c:v>
                </c:pt>
                <c:pt idx="29">
                  <c:v>-138.38708034075728</c:v>
                </c:pt>
                <c:pt idx="30">
                  <c:v>-138.38708034075631</c:v>
                </c:pt>
                <c:pt idx="31">
                  <c:v>-138.3870803407556</c:v>
                </c:pt>
                <c:pt idx="32">
                  <c:v>-138.38708034075574</c:v>
                </c:pt>
                <c:pt idx="33">
                  <c:v>-138.38708034075728</c:v>
                </c:pt>
                <c:pt idx="34">
                  <c:v>-138.38708034075643</c:v>
                </c:pt>
                <c:pt idx="35">
                  <c:v>-138.38708034075776</c:v>
                </c:pt>
                <c:pt idx="36">
                  <c:v>-138.38708034075583</c:v>
                </c:pt>
                <c:pt idx="37">
                  <c:v>-138.38708034075498</c:v>
                </c:pt>
                <c:pt idx="38">
                  <c:v>-138.38708034075827</c:v>
                </c:pt>
                <c:pt idx="39">
                  <c:v>-138.38708034075759</c:v>
                </c:pt>
                <c:pt idx="40">
                  <c:v>-138.38708034075592</c:v>
                </c:pt>
                <c:pt idx="41">
                  <c:v>-138.38708034075697</c:v>
                </c:pt>
                <c:pt idx="42">
                  <c:v>-138.38708034075819</c:v>
                </c:pt>
                <c:pt idx="43">
                  <c:v>-138.38708034075674</c:v>
                </c:pt>
                <c:pt idx="44">
                  <c:v>-138.38708034075469</c:v>
                </c:pt>
                <c:pt idx="45">
                  <c:v>-138.38708034075574</c:v>
                </c:pt>
                <c:pt idx="46">
                  <c:v>-138.38708034075836</c:v>
                </c:pt>
                <c:pt idx="47">
                  <c:v>-138.38708034075768</c:v>
                </c:pt>
                <c:pt idx="48">
                  <c:v>-138.38708034075719</c:v>
                </c:pt>
                <c:pt idx="49">
                  <c:v>-138.38708034075643</c:v>
                </c:pt>
                <c:pt idx="50">
                  <c:v>-138.38708034075614</c:v>
                </c:pt>
                <c:pt idx="51">
                  <c:v>-138.38708034075682</c:v>
                </c:pt>
                <c:pt idx="52">
                  <c:v>-138.3870803407556</c:v>
                </c:pt>
                <c:pt idx="53">
                  <c:v>-138.38708034075233</c:v>
                </c:pt>
                <c:pt idx="54">
                  <c:v>-138.38708034075583</c:v>
                </c:pt>
                <c:pt idx="55">
                  <c:v>-138.38708034075614</c:v>
                </c:pt>
                <c:pt idx="56">
                  <c:v>-138.38708034075407</c:v>
                </c:pt>
                <c:pt idx="57">
                  <c:v>-138.3870803407589</c:v>
                </c:pt>
                <c:pt idx="58">
                  <c:v>-138.3870803407537</c:v>
                </c:pt>
                <c:pt idx="59">
                  <c:v>-138.38708034075728</c:v>
                </c:pt>
                <c:pt idx="60">
                  <c:v>-138.38708034075944</c:v>
                </c:pt>
                <c:pt idx="61">
                  <c:v>-138.38708034075592</c:v>
                </c:pt>
                <c:pt idx="62">
                  <c:v>-138.38708034075631</c:v>
                </c:pt>
                <c:pt idx="63">
                  <c:v>-138.38708034075975</c:v>
                </c:pt>
                <c:pt idx="64">
                  <c:v>-138.38708034075469</c:v>
                </c:pt>
                <c:pt idx="65">
                  <c:v>-138.38708034075805</c:v>
                </c:pt>
                <c:pt idx="66">
                  <c:v>-138.38708034075668</c:v>
                </c:pt>
                <c:pt idx="67">
                  <c:v>-138.38708034075913</c:v>
                </c:pt>
                <c:pt idx="68">
                  <c:v>-138.38708034076018</c:v>
                </c:pt>
                <c:pt idx="69">
                  <c:v>-138.38708034075529</c:v>
                </c:pt>
                <c:pt idx="70">
                  <c:v>-138.38708034075759</c:v>
                </c:pt>
                <c:pt idx="71">
                  <c:v>-138.38708034075606</c:v>
                </c:pt>
                <c:pt idx="72">
                  <c:v>-138.3870803407556</c:v>
                </c:pt>
                <c:pt idx="73">
                  <c:v>-138.38708034075805</c:v>
                </c:pt>
                <c:pt idx="74">
                  <c:v>-138.38708034075759</c:v>
                </c:pt>
                <c:pt idx="75">
                  <c:v>-138.38708034075989</c:v>
                </c:pt>
                <c:pt idx="76">
                  <c:v>-138.38708034075518</c:v>
                </c:pt>
                <c:pt idx="77">
                  <c:v>-138.38708034076049</c:v>
                </c:pt>
                <c:pt idx="78">
                  <c:v>-138.38708034075714</c:v>
                </c:pt>
                <c:pt idx="79">
                  <c:v>-138.38708034075407</c:v>
                </c:pt>
                <c:pt idx="80">
                  <c:v>-138.38708034075668</c:v>
                </c:pt>
                <c:pt idx="81">
                  <c:v>-138.38708034075361</c:v>
                </c:pt>
                <c:pt idx="82">
                  <c:v>-138.38708034075975</c:v>
                </c:pt>
                <c:pt idx="83">
                  <c:v>-138.38708034075776</c:v>
                </c:pt>
                <c:pt idx="84">
                  <c:v>-138.38708034075592</c:v>
                </c:pt>
                <c:pt idx="85">
                  <c:v>-138.38708034076112</c:v>
                </c:pt>
                <c:pt idx="86">
                  <c:v>-138.38708034075682</c:v>
                </c:pt>
                <c:pt idx="87">
                  <c:v>-138.38708034075421</c:v>
                </c:pt>
                <c:pt idx="88">
                  <c:v>-138.38708034075714</c:v>
                </c:pt>
                <c:pt idx="89">
                  <c:v>-138.38708034075668</c:v>
                </c:pt>
                <c:pt idx="90">
                  <c:v>-138.38708034075927</c:v>
                </c:pt>
                <c:pt idx="91">
                  <c:v>-138.38708034075867</c:v>
                </c:pt>
                <c:pt idx="92">
                  <c:v>-138.38708034075455</c:v>
                </c:pt>
                <c:pt idx="93">
                  <c:v>-138.38708034075393</c:v>
                </c:pt>
                <c:pt idx="94">
                  <c:v>-138.38708034075574</c:v>
                </c:pt>
                <c:pt idx="95">
                  <c:v>-138.38708034075637</c:v>
                </c:pt>
                <c:pt idx="96">
                  <c:v>-138.38708034075682</c:v>
                </c:pt>
                <c:pt idx="97">
                  <c:v>-138.38708034076143</c:v>
                </c:pt>
                <c:pt idx="98">
                  <c:v>-138.3870803407556</c:v>
                </c:pt>
                <c:pt idx="99">
                  <c:v>-138.38708034075867</c:v>
                </c:pt>
                <c:pt idx="100">
                  <c:v>-138.38708034075697</c:v>
                </c:pt>
                <c:pt idx="101">
                  <c:v>-138.38708034075592</c:v>
                </c:pt>
                <c:pt idx="102">
                  <c:v>-138.38708034075913</c:v>
                </c:pt>
                <c:pt idx="103">
                  <c:v>-138.38708034075256</c:v>
                </c:pt>
                <c:pt idx="104">
                  <c:v>-138.3870803407579</c:v>
                </c:pt>
                <c:pt idx="105">
                  <c:v>-138.38708034075668</c:v>
                </c:pt>
                <c:pt idx="106">
                  <c:v>-138.38708034075469</c:v>
                </c:pt>
                <c:pt idx="107">
                  <c:v>-138.38708034075714</c:v>
                </c:pt>
                <c:pt idx="108">
                  <c:v>-138.38708034075518</c:v>
                </c:pt>
                <c:pt idx="109">
                  <c:v>-138.3870803407622</c:v>
                </c:pt>
                <c:pt idx="110">
                  <c:v>-138.3870803407622</c:v>
                </c:pt>
                <c:pt idx="111">
                  <c:v>-138.38708034075484</c:v>
                </c:pt>
                <c:pt idx="112">
                  <c:v>-138.38708034075086</c:v>
                </c:pt>
                <c:pt idx="113">
                  <c:v>-138.3870803407533</c:v>
                </c:pt>
                <c:pt idx="114">
                  <c:v>-138.38708034075853</c:v>
                </c:pt>
                <c:pt idx="115">
                  <c:v>-138.38708034075026</c:v>
                </c:pt>
                <c:pt idx="116">
                  <c:v>-138.38708034075361</c:v>
                </c:pt>
                <c:pt idx="117">
                  <c:v>-138.3870803407533</c:v>
                </c:pt>
                <c:pt idx="118">
                  <c:v>-138.38708034075958</c:v>
                </c:pt>
                <c:pt idx="119">
                  <c:v>-138.38708034075606</c:v>
                </c:pt>
                <c:pt idx="120">
                  <c:v>-138.38708034075407</c:v>
                </c:pt>
                <c:pt idx="121">
                  <c:v>-138.38708034076188</c:v>
                </c:pt>
                <c:pt idx="122">
                  <c:v>-138.38708034075484</c:v>
                </c:pt>
                <c:pt idx="123">
                  <c:v>-138.38708034075393</c:v>
                </c:pt>
                <c:pt idx="124">
                  <c:v>-138.38708034076126</c:v>
                </c:pt>
                <c:pt idx="125">
                  <c:v>-138.38708034076311</c:v>
                </c:pt>
                <c:pt idx="126">
                  <c:v>-138.38708034075117</c:v>
                </c:pt>
                <c:pt idx="127">
                  <c:v>-138.38708034076203</c:v>
                </c:pt>
                <c:pt idx="128">
                  <c:v>-138.38708034075592</c:v>
                </c:pt>
                <c:pt idx="129">
                  <c:v>-138.38708034075225</c:v>
                </c:pt>
                <c:pt idx="130">
                  <c:v>-138.38708034075194</c:v>
                </c:pt>
                <c:pt idx="131">
                  <c:v>-138.38708034074918</c:v>
                </c:pt>
                <c:pt idx="132">
                  <c:v>-138.38708034075898</c:v>
                </c:pt>
                <c:pt idx="133">
                  <c:v>-138.3870803407608</c:v>
                </c:pt>
                <c:pt idx="134">
                  <c:v>-138.38708034075316</c:v>
                </c:pt>
                <c:pt idx="135">
                  <c:v>-138.38708034075438</c:v>
                </c:pt>
                <c:pt idx="136">
                  <c:v>-138.38708034075867</c:v>
                </c:pt>
                <c:pt idx="137">
                  <c:v>-138.3870803407608</c:v>
                </c:pt>
                <c:pt idx="138">
                  <c:v>-138.38708034075316</c:v>
                </c:pt>
                <c:pt idx="139">
                  <c:v>-138.38708034075009</c:v>
                </c:pt>
                <c:pt idx="140">
                  <c:v>-138.38708034075131</c:v>
                </c:pt>
                <c:pt idx="141">
                  <c:v>-138.38708034076049</c:v>
                </c:pt>
                <c:pt idx="142">
                  <c:v>-138.38708034075592</c:v>
                </c:pt>
                <c:pt idx="143">
                  <c:v>-138.38708034075438</c:v>
                </c:pt>
                <c:pt idx="144">
                  <c:v>-138.38708034075407</c:v>
                </c:pt>
                <c:pt idx="145">
                  <c:v>-138.38708034075529</c:v>
                </c:pt>
                <c:pt idx="146">
                  <c:v>-138.38708034075592</c:v>
                </c:pt>
                <c:pt idx="147">
                  <c:v>-138.38708034075469</c:v>
                </c:pt>
                <c:pt idx="148">
                  <c:v>-138.38708034075071</c:v>
                </c:pt>
                <c:pt idx="149">
                  <c:v>-138.38708034075529</c:v>
                </c:pt>
                <c:pt idx="150">
                  <c:v>-138.38708034075469</c:v>
                </c:pt>
                <c:pt idx="151">
                  <c:v>-138.38708034075745</c:v>
                </c:pt>
                <c:pt idx="152">
                  <c:v>-138.38708034076143</c:v>
                </c:pt>
                <c:pt idx="153">
                  <c:v>-138.3870803407703</c:v>
                </c:pt>
                <c:pt idx="154">
                  <c:v>-138.38708034075958</c:v>
                </c:pt>
                <c:pt idx="155">
                  <c:v>-138.38708034074764</c:v>
                </c:pt>
                <c:pt idx="156">
                  <c:v>-139.99998046781653</c:v>
                </c:pt>
                <c:pt idx="157">
                  <c:v>-139.99998046781653</c:v>
                </c:pt>
                <c:pt idx="158">
                  <c:v>-139.99998046781653</c:v>
                </c:pt>
                <c:pt idx="159">
                  <c:v>-139.99998046781653</c:v>
                </c:pt>
                <c:pt idx="160">
                  <c:v>-139.99998046781653</c:v>
                </c:pt>
                <c:pt idx="161">
                  <c:v>-139.99998046781653</c:v>
                </c:pt>
                <c:pt idx="162">
                  <c:v>-139.99998046781653</c:v>
                </c:pt>
                <c:pt idx="163">
                  <c:v>-139.99998046781653</c:v>
                </c:pt>
                <c:pt idx="164">
                  <c:v>-139.99998046781653</c:v>
                </c:pt>
                <c:pt idx="165">
                  <c:v>-139.99998046781653</c:v>
                </c:pt>
                <c:pt idx="166">
                  <c:v>-139.99998046781653</c:v>
                </c:pt>
                <c:pt idx="167">
                  <c:v>-139.99998046781653</c:v>
                </c:pt>
                <c:pt idx="168">
                  <c:v>-139.99998046781653</c:v>
                </c:pt>
                <c:pt idx="169">
                  <c:v>-139.99998046781653</c:v>
                </c:pt>
                <c:pt idx="170">
                  <c:v>-139.99998046781653</c:v>
                </c:pt>
                <c:pt idx="171">
                  <c:v>-139.99998046781653</c:v>
                </c:pt>
                <c:pt idx="172">
                  <c:v>-139.99998046781653</c:v>
                </c:pt>
                <c:pt idx="173">
                  <c:v>-139.99998046781653</c:v>
                </c:pt>
                <c:pt idx="174">
                  <c:v>-139.99998046781653</c:v>
                </c:pt>
                <c:pt idx="175">
                  <c:v>-139.99998046781653</c:v>
                </c:pt>
                <c:pt idx="176">
                  <c:v>-139.99998046781653</c:v>
                </c:pt>
                <c:pt idx="177">
                  <c:v>-139.99998046781653</c:v>
                </c:pt>
                <c:pt idx="178">
                  <c:v>-139.99998046781653</c:v>
                </c:pt>
                <c:pt idx="179">
                  <c:v>-139.99998046781653</c:v>
                </c:pt>
                <c:pt idx="180">
                  <c:v>-139.99998046781653</c:v>
                </c:pt>
                <c:pt idx="181">
                  <c:v>-139.99998046781653</c:v>
                </c:pt>
                <c:pt idx="182">
                  <c:v>-139.99998046781653</c:v>
                </c:pt>
                <c:pt idx="183">
                  <c:v>-139.99998046781653</c:v>
                </c:pt>
                <c:pt idx="184">
                  <c:v>-139.99998046781653</c:v>
                </c:pt>
                <c:pt idx="185">
                  <c:v>-139.99998046781653</c:v>
                </c:pt>
                <c:pt idx="186">
                  <c:v>-139.99998046781653</c:v>
                </c:pt>
                <c:pt idx="187">
                  <c:v>-139.99998046781653</c:v>
                </c:pt>
                <c:pt idx="188">
                  <c:v>-139.99998046781653</c:v>
                </c:pt>
                <c:pt idx="189">
                  <c:v>-139.99998046781653</c:v>
                </c:pt>
                <c:pt idx="190">
                  <c:v>-139.99998046781653</c:v>
                </c:pt>
                <c:pt idx="191">
                  <c:v>-139.99998046781653</c:v>
                </c:pt>
                <c:pt idx="192">
                  <c:v>-139.99998046781653</c:v>
                </c:pt>
                <c:pt idx="193">
                  <c:v>-139.99998046781653</c:v>
                </c:pt>
                <c:pt idx="194">
                  <c:v>-139.99998046781653</c:v>
                </c:pt>
                <c:pt idx="195">
                  <c:v>-139.99998046781653</c:v>
                </c:pt>
                <c:pt idx="196">
                  <c:v>-139.99998046781653</c:v>
                </c:pt>
                <c:pt idx="197">
                  <c:v>-139.99998046781653</c:v>
                </c:pt>
                <c:pt idx="198">
                  <c:v>-139.99998046781653</c:v>
                </c:pt>
                <c:pt idx="199">
                  <c:v>-139.99998046781653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34-4924-B5DF-66A9EC57A495}"/>
            </c:ext>
          </c:extLst>
        </c:ser>
        <c:ser>
          <c:idx val="4"/>
          <c:order val="5"/>
          <c:tx>
            <c:strRef>
              <c:f>Calculate!$F$1</c:f>
              <c:strCache>
                <c:ptCount val="1"/>
                <c:pt idx="0">
                  <c:v>Rx_PSD_us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Calculate!$F$2:$F$201</c:f>
              <c:numCache>
                <c:formatCode>0.00</c:formatCode>
                <c:ptCount val="200"/>
                <c:pt idx="0">
                  <c:v>-100.07898549527246</c:v>
                </c:pt>
                <c:pt idx="1">
                  <c:v>-100.77204496041794</c:v>
                </c:pt>
                <c:pt idx="2">
                  <c:v>-101.31446553864188</c:v>
                </c:pt>
                <c:pt idx="3">
                  <c:v>-101.77890969112914</c:v>
                </c:pt>
                <c:pt idx="4">
                  <c:v>-102.19352261047095</c:v>
                </c:pt>
                <c:pt idx="5">
                  <c:v>-102.5727388649351</c:v>
                </c:pt>
                <c:pt idx="6">
                  <c:v>-102.9251332501741</c:v>
                </c:pt>
                <c:pt idx="7">
                  <c:v>-103.25629271991887</c:v>
                </c:pt>
                <c:pt idx="8">
                  <c:v>-103.57009798548458</c:v>
                </c:pt>
                <c:pt idx="9">
                  <c:v>-103.86937456915857</c:v>
                </c:pt>
                <c:pt idx="10">
                  <c:v>-104.15625551203533</c:v>
                </c:pt>
                <c:pt idx="11">
                  <c:v>-104.43239797486551</c:v>
                </c:pt>
                <c:pt idx="12">
                  <c:v>-104.69911981060022</c:v>
                </c:pt>
                <c:pt idx="13">
                  <c:v>-104.95748952934605</c:v>
                </c:pt>
                <c:pt idx="14">
                  <c:v>-105.20838773663472</c:v>
                </c:pt>
                <c:pt idx="15">
                  <c:v>-105.4525503783388</c:v>
                </c:pt>
                <c:pt idx="16">
                  <c:v>-105.69059997330854</c:v>
                </c:pt>
                <c:pt idx="17">
                  <c:v>-105.92306867641733</c:v>
                </c:pt>
                <c:pt idx="18">
                  <c:v>-106.15041564127755</c:v>
                </c:pt>
                <c:pt idx="19">
                  <c:v>-106.37304031552118</c:v>
                </c:pt>
                <c:pt idx="20">
                  <c:v>-106.59129277594802</c:v>
                </c:pt>
                <c:pt idx="21">
                  <c:v>-106.80548187129529</c:v>
                </c:pt>
                <c:pt idx="22">
                  <c:v>-107.01588171559121</c:v>
                </c:pt>
                <c:pt idx="23">
                  <c:v>-107.22273692294826</c:v>
                </c:pt>
                <c:pt idx="24">
                  <c:v>-107.42626686969179</c:v>
                </c:pt>
                <c:pt idx="25">
                  <c:v>-107.62666919599675</c:v>
                </c:pt>
                <c:pt idx="26">
                  <c:v>-107.82412270658546</c:v>
                </c:pt>
                <c:pt idx="27">
                  <c:v>-108.01878979192503</c:v>
                </c:pt>
                <c:pt idx="28">
                  <c:v>-108.21081846338487</c:v>
                </c:pt>
                <c:pt idx="29">
                  <c:v>-108.40034407501918</c:v>
                </c:pt>
                <c:pt idx="30">
                  <c:v>-108.58749078900789</c:v>
                </c:pt>
                <c:pt idx="31">
                  <c:v>-108.77237282991334</c:v>
                </c:pt>
                <c:pt idx="32">
                  <c:v>-108.95509556379972</c:v>
                </c:pt>
                <c:pt idx="33">
                  <c:v>-109.13575643120838</c:v>
                </c:pt>
                <c:pt idx="34">
                  <c:v>-109.31444575747551</c:v>
                </c:pt>
                <c:pt idx="35">
                  <c:v>-109.49124745954354</c:v>
                </c:pt>
                <c:pt idx="36">
                  <c:v>-109.66623966498148</c:v>
                </c:pt>
                <c:pt idx="37">
                  <c:v>-109.83949525618462</c:v>
                </c:pt>
                <c:pt idx="38">
                  <c:v>-110.01108235051883</c:v>
                </c:pt>
                <c:pt idx="39">
                  <c:v>-110.18106472539029</c:v>
                </c:pt>
                <c:pt idx="40">
                  <c:v>-110.34950219577037</c:v>
                </c:pt>
                <c:pt idx="41">
                  <c:v>-110.51645095051862</c:v>
                </c:pt>
                <c:pt idx="42">
                  <c:v>-110.68196385286949</c:v>
                </c:pt>
                <c:pt idx="43">
                  <c:v>-110.84609070964257</c:v>
                </c:pt>
                <c:pt idx="44">
                  <c:v>-111.00887851306527</c:v>
                </c:pt>
                <c:pt idx="45">
                  <c:v>-111.17037165853844</c:v>
                </c:pt>
                <c:pt idx="46">
                  <c:v>-111.3306121412067</c:v>
                </c:pt>
                <c:pt idx="47">
                  <c:v>-111.48963973380171</c:v>
                </c:pt>
                <c:pt idx="48">
                  <c:v>-111.64749214789407</c:v>
                </c:pt>
                <c:pt idx="49">
                  <c:v>-111.8042051804069</c:v>
                </c:pt>
                <c:pt idx="50">
                  <c:v>-111.95981284700522</c:v>
                </c:pt>
                <c:pt idx="51">
                  <c:v>-112.11434750376991</c:v>
                </c:pt>
                <c:pt idx="52">
                  <c:v>-112.26783995838963</c:v>
                </c:pt>
                <c:pt idx="53">
                  <c:v>-112.42031957195405</c:v>
                </c:pt>
                <c:pt idx="54">
                  <c:v>-112.57181435230123</c:v>
                </c:pt>
                <c:pt idx="55">
                  <c:v>-112.72235103976033</c:v>
                </c:pt>
                <c:pt idx="56">
                  <c:v>-112.87195518603323</c:v>
                </c:pt>
                <c:pt idx="57">
                  <c:v>-113.02065122687472</c:v>
                </c:pt>
                <c:pt idx="58">
                  <c:v>-113.1684625491564</c:v>
                </c:pt>
                <c:pt idx="59">
                  <c:v>-113.31541155283644</c:v>
                </c:pt>
                <c:pt idx="60">
                  <c:v>-113.46151970829963</c:v>
                </c:pt>
                <c:pt idx="61">
                  <c:v>-113.60680760948424</c:v>
                </c:pt>
                <c:pt idx="62">
                  <c:v>-113.75129502316736</c:v>
                </c:pt>
                <c:pt idx="63">
                  <c:v>-113.89500093474336</c:v>
                </c:pt>
                <c:pt idx="64">
                  <c:v>-114.03794359079546</c:v>
                </c:pt>
                <c:pt idx="65">
                  <c:v>-114.18014053873077</c:v>
                </c:pt>
                <c:pt idx="66">
                  <c:v>-114.32160866372283</c:v>
                </c:pt>
                <c:pt idx="67">
                  <c:v>-114.46236422318161</c:v>
                </c:pt>
                <c:pt idx="68">
                  <c:v>-114.60242287895062</c:v>
                </c:pt>
                <c:pt idx="69">
                  <c:v>-114.7417997274113</c:v>
                </c:pt>
                <c:pt idx="70">
                  <c:v>-114.8805093276588</c:v>
                </c:pt>
                <c:pt idx="71">
                  <c:v>-115.01856572789798</c:v>
                </c:pt>
                <c:pt idx="72">
                  <c:v>-115.15598249019521</c:v>
                </c:pt>
                <c:pt idx="73">
                  <c:v>-115.2927727137093</c:v>
                </c:pt>
                <c:pt idx="74">
                  <c:v>-115.42894905651428</c:v>
                </c:pt>
                <c:pt idx="75">
                  <c:v>-115.56452375611717</c:v>
                </c:pt>
                <c:pt idx="76">
                  <c:v>-115.69950864876449</c:v>
                </c:pt>
                <c:pt idx="77">
                  <c:v>-115.83391518762423</c:v>
                </c:pt>
                <c:pt idx="78">
                  <c:v>-115.96775445992182</c:v>
                </c:pt>
                <c:pt idx="79">
                  <c:v>-116.10103720310322</c:v>
                </c:pt>
                <c:pt idx="80">
                  <c:v>-116.23377382009144</c:v>
                </c:pt>
                <c:pt idx="81">
                  <c:v>-116.36597439369797</c:v>
                </c:pt>
                <c:pt idx="82">
                  <c:v>-116.49764870024575</c:v>
                </c:pt>
                <c:pt idx="83">
                  <c:v>-116.62880622245565</c:v>
                </c:pt>
                <c:pt idx="84">
                  <c:v>-116.75945616164452</c:v>
                </c:pt>
                <c:pt idx="85">
                  <c:v>-116.8896074492794</c:v>
                </c:pt>
                <c:pt idx="86">
                  <c:v>-117.01926875792877</c:v>
                </c:pt>
                <c:pt idx="87">
                  <c:v>-117.14844851164897</c:v>
                </c:pt>
                <c:pt idx="88">
                  <c:v>-117.27715489584088</c:v>
                </c:pt>
                <c:pt idx="89">
                  <c:v>-117.40539586660969</c:v>
                </c:pt>
                <c:pt idx="90">
                  <c:v>-117.53317915965789</c:v>
                </c:pt>
                <c:pt idx="91">
                  <c:v>-117.66051229873958</c:v>
                </c:pt>
                <c:pt idx="92">
                  <c:v>-117.78740260370245</c:v>
                </c:pt>
                <c:pt idx="93">
                  <c:v>-117.91385719814163</c:v>
                </c:pt>
                <c:pt idx="94">
                  <c:v>-118.03988301668807</c:v>
                </c:pt>
                <c:pt idx="95">
                  <c:v>-118.16548681195246</c:v>
                </c:pt>
                <c:pt idx="96">
                  <c:v>-118.29067516114466</c:v>
                </c:pt>
                <c:pt idx="97">
                  <c:v>-118.41545447238661</c:v>
                </c:pt>
                <c:pt idx="98">
                  <c:v>-118.53983099073628</c:v>
                </c:pt>
                <c:pt idx="99">
                  <c:v>-118.66381080393828</c:v>
                </c:pt>
                <c:pt idx="100">
                  <c:v>-118.78739984791645</c:v>
                </c:pt>
                <c:pt idx="101">
                  <c:v>-118.91060391202228</c:v>
                </c:pt>
                <c:pt idx="102">
                  <c:v>-119.03342864405235</c:v>
                </c:pt>
                <c:pt idx="103">
                  <c:v>-119.15587955504699</c:v>
                </c:pt>
                <c:pt idx="104">
                  <c:v>-119.27796202388194</c:v>
                </c:pt>
                <c:pt idx="105">
                  <c:v>-119.39968130166355</c:v>
                </c:pt>
                <c:pt idx="106">
                  <c:v>-119.52104251593786</c:v>
                </c:pt>
                <c:pt idx="107">
                  <c:v>-119.64205067472317</c:v>
                </c:pt>
                <c:pt idx="108">
                  <c:v>-119.76271067037467</c:v>
                </c:pt>
                <c:pt idx="109">
                  <c:v>-119.8830272832903</c:v>
                </c:pt>
                <c:pt idx="110">
                  <c:v>-120.00300518546493</c:v>
                </c:pt>
                <c:pt idx="111">
                  <c:v>-120.12264894390108</c:v>
                </c:pt>
                <c:pt idx="112">
                  <c:v>-120.24196302388268</c:v>
                </c:pt>
                <c:pt idx="113">
                  <c:v>-120.3609517921189</c:v>
                </c:pt>
                <c:pt idx="114">
                  <c:v>-120.47961951976403</c:v>
                </c:pt>
                <c:pt idx="115">
                  <c:v>-120.59797038531951</c:v>
                </c:pt>
                <c:pt idx="116">
                  <c:v>-120.71600847742361</c:v>
                </c:pt>
                <c:pt idx="117">
                  <c:v>-120.833737797534</c:v>
                </c:pt>
                <c:pt idx="118">
                  <c:v>-120.95116226250822</c:v>
                </c:pt>
                <c:pt idx="119">
                  <c:v>-121.06828570708691</c:v>
                </c:pt>
                <c:pt idx="120">
                  <c:v>-121.18511188628389</c:v>
                </c:pt>
                <c:pt idx="121">
                  <c:v>-121.30164447768769</c:v>
                </c:pt>
                <c:pt idx="122">
                  <c:v>-121.41788708367834</c:v>
                </c:pt>
                <c:pt idx="123">
                  <c:v>-121.53384323356309</c:v>
                </c:pt>
                <c:pt idx="124">
                  <c:v>-121.64951638563502</c:v>
                </c:pt>
                <c:pt idx="125">
                  <c:v>-121.7649099291574</c:v>
                </c:pt>
                <c:pt idx="126">
                  <c:v>-121.88002718627752</c:v>
                </c:pt>
                <c:pt idx="127">
                  <c:v>-121.99487141387279</c:v>
                </c:pt>
                <c:pt idx="128">
                  <c:v>-122.10944580533203</c:v>
                </c:pt>
                <c:pt idx="129">
                  <c:v>-122.22375349227471</c:v>
                </c:pt>
                <c:pt idx="130">
                  <c:v>-122.33779754621094</c:v>
                </c:pt>
                <c:pt idx="131">
                  <c:v>-122.45158098014431</c:v>
                </c:pt>
                <c:pt idx="132">
                  <c:v>-122.56510675012041</c:v>
                </c:pt>
                <c:pt idx="133">
                  <c:v>-122.67837775672297</c:v>
                </c:pt>
                <c:pt idx="134">
                  <c:v>-122.79139684651972</c:v>
                </c:pt>
                <c:pt idx="135">
                  <c:v>-122.90416681346039</c:v>
                </c:pt>
                <c:pt idx="136">
                  <c:v>-123.0166904002284</c:v>
                </c:pt>
                <c:pt idx="137">
                  <c:v>-123.1289702995481</c:v>
                </c:pt>
                <c:pt idx="138">
                  <c:v>-123.24100915544977</c:v>
                </c:pt>
                <c:pt idx="139">
                  <c:v>-123.35280956449343</c:v>
                </c:pt>
                <c:pt idx="140">
                  <c:v>-123.4643740769536</c:v>
                </c:pt>
                <c:pt idx="141">
                  <c:v>-123.5757051979662</c:v>
                </c:pt>
                <c:pt idx="142">
                  <c:v>-123.68680538863916</c:v>
                </c:pt>
                <c:pt idx="143">
                  <c:v>-123.79767706712826</c:v>
                </c:pt>
                <c:pt idx="144">
                  <c:v>-123.90832260967927</c:v>
                </c:pt>
                <c:pt idx="145">
                  <c:v>-124.01874435163784</c:v>
                </c:pt>
                <c:pt idx="146">
                  <c:v>-124.12894458842837</c:v>
                </c:pt>
                <c:pt idx="147">
                  <c:v>-124.23892557650291</c:v>
                </c:pt>
                <c:pt idx="148">
                  <c:v>-124.3486895342613</c:v>
                </c:pt>
                <c:pt idx="149">
                  <c:v>-124.4582386429435</c:v>
                </c:pt>
                <c:pt idx="150">
                  <c:v>-124.56757504749525</c:v>
                </c:pt>
                <c:pt idx="151">
                  <c:v>-124.67670085740797</c:v>
                </c:pt>
                <c:pt idx="152">
                  <c:v>-124.7856181475338</c:v>
                </c:pt>
                <c:pt idx="153">
                  <c:v>-124.89432895887671</c:v>
                </c:pt>
                <c:pt idx="154">
                  <c:v>-125.00283529936064</c:v>
                </c:pt>
                <c:pt idx="155">
                  <c:v>-125.11113914457518</c:v>
                </c:pt>
                <c:pt idx="156">
                  <c:v>-175.21924243849992</c:v>
                </c:pt>
                <c:pt idx="157">
                  <c:v>-175.32714709420799</c:v>
                </c:pt>
                <c:pt idx="158">
                  <c:v>-175.43485499454974</c:v>
                </c:pt>
                <c:pt idx="159">
                  <c:v>-175.54236799281682</c:v>
                </c:pt>
                <c:pt idx="160">
                  <c:v>-175.64968791338799</c:v>
                </c:pt>
                <c:pt idx="161">
                  <c:v>-175.7568165523565</c:v>
                </c:pt>
                <c:pt idx="162">
                  <c:v>-175.86375567814039</c:v>
                </c:pt>
                <c:pt idx="163">
                  <c:v>-175.97050703207577</c:v>
                </c:pt>
                <c:pt idx="164">
                  <c:v>-176.07707232899406</c:v>
                </c:pt>
                <c:pt idx="165">
                  <c:v>-176.18345325778316</c:v>
                </c:pt>
                <c:pt idx="166">
                  <c:v>-176.28965148193382</c:v>
                </c:pt>
                <c:pt idx="167">
                  <c:v>-176.39566864007105</c:v>
                </c:pt>
                <c:pt idx="168">
                  <c:v>-176.50150634647142</c:v>
                </c:pt>
                <c:pt idx="169">
                  <c:v>-176.60716619156659</c:v>
                </c:pt>
                <c:pt idx="170">
                  <c:v>-176.71264974243343</c:v>
                </c:pt>
                <c:pt idx="171">
                  <c:v>-176.81795854327157</c:v>
                </c:pt>
                <c:pt idx="172">
                  <c:v>-176.92309411586797</c:v>
                </c:pt>
                <c:pt idx="173">
                  <c:v>-177.02805796004995</c:v>
                </c:pt>
                <c:pt idx="174">
                  <c:v>-177.1328515541262</c:v>
                </c:pt>
                <c:pt idx="175">
                  <c:v>-177.23747635531649</c:v>
                </c:pt>
                <c:pt idx="176">
                  <c:v>-177.34193380017052</c:v>
                </c:pt>
                <c:pt idx="177">
                  <c:v>-177.44622530497611</c:v>
                </c:pt>
                <c:pt idx="178">
                  <c:v>-177.55035226615698</c:v>
                </c:pt>
                <c:pt idx="179">
                  <c:v>-177.65431606066068</c:v>
                </c:pt>
                <c:pt idx="180">
                  <c:v>-177.75811804633676</c:v>
                </c:pt>
                <c:pt idx="181">
                  <c:v>-177.86175956230554</c:v>
                </c:pt>
                <c:pt idx="182">
                  <c:v>-177.96524192931784</c:v>
                </c:pt>
                <c:pt idx="183">
                  <c:v>-178.06856645010581</c:v>
                </c:pt>
                <c:pt idx="184">
                  <c:v>-178.17173440972519</c:v>
                </c:pt>
                <c:pt idx="185">
                  <c:v>-178.27474707588937</c:v>
                </c:pt>
                <c:pt idx="186">
                  <c:v>-178.37760569929517</c:v>
                </c:pt>
                <c:pt idx="187">
                  <c:v>-178.48031151394107</c:v>
                </c:pt>
                <c:pt idx="188">
                  <c:v>-178.58286573743749</c:v>
                </c:pt>
                <c:pt idx="189">
                  <c:v>-178.68526957131002</c:v>
                </c:pt>
                <c:pt idx="190">
                  <c:v>-178.78752420129527</c:v>
                </c:pt>
                <c:pt idx="191">
                  <c:v>-178.88963079762988</c:v>
                </c:pt>
                <c:pt idx="192">
                  <c:v>-178.99159051533258</c:v>
                </c:pt>
                <c:pt idx="193">
                  <c:v>-179.09340449447998</c:v>
                </c:pt>
                <c:pt idx="194">
                  <c:v>-179.19507386047567</c:v>
                </c:pt>
                <c:pt idx="195">
                  <c:v>-179.29659972431335</c:v>
                </c:pt>
                <c:pt idx="196">
                  <c:v>-179.39798318283368</c:v>
                </c:pt>
                <c:pt idx="197">
                  <c:v>-179.49922531897562</c:v>
                </c:pt>
                <c:pt idx="198">
                  <c:v>-179.60032720202162</c:v>
                </c:pt>
                <c:pt idx="199">
                  <c:v>-179.70128988783776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34-4924-B5DF-66A9EC57A495}"/>
            </c:ext>
          </c:extLst>
        </c:ser>
        <c:ser>
          <c:idx val="5"/>
          <c:order val="6"/>
          <c:tx>
            <c:strRef>
              <c:f>Calculate!$G$1</c:f>
              <c:strCache>
                <c:ptCount val="1"/>
                <c:pt idx="0">
                  <c:v>Rx_PSD_ds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Calculate!$G$2:$G$201</c:f>
              <c:numCache>
                <c:formatCode>0.00</c:formatCode>
                <c:ptCount val="200"/>
                <c:pt idx="0">
                  <c:v>-100.07898549527246</c:v>
                </c:pt>
                <c:pt idx="1">
                  <c:v>-100.77204496041794</c:v>
                </c:pt>
                <c:pt idx="2">
                  <c:v>-101.31446553864188</c:v>
                </c:pt>
                <c:pt idx="3">
                  <c:v>-101.77890969112914</c:v>
                </c:pt>
                <c:pt idx="4">
                  <c:v>-102.19352261047095</c:v>
                </c:pt>
                <c:pt idx="5">
                  <c:v>-102.5727388649351</c:v>
                </c:pt>
                <c:pt idx="6">
                  <c:v>-102.9251332501741</c:v>
                </c:pt>
                <c:pt idx="7">
                  <c:v>-103.25629271991887</c:v>
                </c:pt>
                <c:pt idx="8">
                  <c:v>-103.57009798548458</c:v>
                </c:pt>
                <c:pt idx="9">
                  <c:v>-103.86937456915857</c:v>
                </c:pt>
                <c:pt idx="10">
                  <c:v>-104.15625551203533</c:v>
                </c:pt>
                <c:pt idx="11">
                  <c:v>-104.43239797486551</c:v>
                </c:pt>
                <c:pt idx="12">
                  <c:v>-104.69911981060022</c:v>
                </c:pt>
                <c:pt idx="13">
                  <c:v>-104.95748952934605</c:v>
                </c:pt>
                <c:pt idx="14">
                  <c:v>-105.20838773663472</c:v>
                </c:pt>
                <c:pt idx="15">
                  <c:v>-105.4525503783388</c:v>
                </c:pt>
                <c:pt idx="16">
                  <c:v>-105.69059997330854</c:v>
                </c:pt>
                <c:pt idx="17">
                  <c:v>-105.92306867641733</c:v>
                </c:pt>
                <c:pt idx="18">
                  <c:v>-106.15041564127755</c:v>
                </c:pt>
                <c:pt idx="19">
                  <c:v>-106.37304031552118</c:v>
                </c:pt>
                <c:pt idx="20">
                  <c:v>-106.59129277594802</c:v>
                </c:pt>
                <c:pt idx="21">
                  <c:v>-106.80548187129529</c:v>
                </c:pt>
                <c:pt idx="22">
                  <c:v>-107.01588171559121</c:v>
                </c:pt>
                <c:pt idx="23">
                  <c:v>-107.22273692294826</c:v>
                </c:pt>
                <c:pt idx="24">
                  <c:v>-107.42626686969179</c:v>
                </c:pt>
                <c:pt idx="25">
                  <c:v>-107.62666919599675</c:v>
                </c:pt>
                <c:pt idx="26">
                  <c:v>-107.82412270658546</c:v>
                </c:pt>
                <c:pt idx="27">
                  <c:v>-108.01878979192503</c:v>
                </c:pt>
                <c:pt idx="28">
                  <c:v>-108.21081846338487</c:v>
                </c:pt>
                <c:pt idx="29">
                  <c:v>-108.40034407501918</c:v>
                </c:pt>
                <c:pt idx="30">
                  <c:v>-108.58749078900789</c:v>
                </c:pt>
                <c:pt idx="31">
                  <c:v>-108.77237282991334</c:v>
                </c:pt>
                <c:pt idx="32">
                  <c:v>-108.95509556379972</c:v>
                </c:pt>
                <c:pt idx="33">
                  <c:v>-109.13575643120838</c:v>
                </c:pt>
                <c:pt idx="34">
                  <c:v>-109.31444575747551</c:v>
                </c:pt>
                <c:pt idx="35">
                  <c:v>-109.49124745954354</c:v>
                </c:pt>
                <c:pt idx="36">
                  <c:v>-109.66623966498148</c:v>
                </c:pt>
                <c:pt idx="37">
                  <c:v>-109.83949525618462</c:v>
                </c:pt>
                <c:pt idx="38">
                  <c:v>-110.01108235051883</c:v>
                </c:pt>
                <c:pt idx="39">
                  <c:v>-110.18106472539029</c:v>
                </c:pt>
                <c:pt idx="40">
                  <c:v>-110.34950219577037</c:v>
                </c:pt>
                <c:pt idx="41">
                  <c:v>-110.51645095051862</c:v>
                </c:pt>
                <c:pt idx="42">
                  <c:v>-110.68196385286949</c:v>
                </c:pt>
                <c:pt idx="43">
                  <c:v>-110.84609070964257</c:v>
                </c:pt>
                <c:pt idx="44">
                  <c:v>-111.00887851306527</c:v>
                </c:pt>
                <c:pt idx="45">
                  <c:v>-111.17037165853844</c:v>
                </c:pt>
                <c:pt idx="46">
                  <c:v>-111.3306121412067</c:v>
                </c:pt>
                <c:pt idx="47">
                  <c:v>-111.48963973380171</c:v>
                </c:pt>
                <c:pt idx="48">
                  <c:v>-111.64749214789407</c:v>
                </c:pt>
                <c:pt idx="49">
                  <c:v>-111.8042051804069</c:v>
                </c:pt>
                <c:pt idx="50">
                  <c:v>-111.95981284700522</c:v>
                </c:pt>
                <c:pt idx="51">
                  <c:v>-112.11434750376991</c:v>
                </c:pt>
                <c:pt idx="52">
                  <c:v>-112.26783995838963</c:v>
                </c:pt>
                <c:pt idx="53">
                  <c:v>-112.42031957195405</c:v>
                </c:pt>
                <c:pt idx="54">
                  <c:v>-112.57181435230123</c:v>
                </c:pt>
                <c:pt idx="55">
                  <c:v>-112.72235103976033</c:v>
                </c:pt>
                <c:pt idx="56">
                  <c:v>-112.87195518603323</c:v>
                </c:pt>
                <c:pt idx="57">
                  <c:v>-113.02065122687472</c:v>
                </c:pt>
                <c:pt idx="58">
                  <c:v>-113.1684625491564</c:v>
                </c:pt>
                <c:pt idx="59">
                  <c:v>-113.31541155283644</c:v>
                </c:pt>
                <c:pt idx="60">
                  <c:v>-113.46151970829963</c:v>
                </c:pt>
                <c:pt idx="61">
                  <c:v>-113.60680760948424</c:v>
                </c:pt>
                <c:pt idx="62">
                  <c:v>-113.75129502316736</c:v>
                </c:pt>
                <c:pt idx="63">
                  <c:v>-113.89500093474336</c:v>
                </c:pt>
                <c:pt idx="64">
                  <c:v>-114.03794359079546</c:v>
                </c:pt>
                <c:pt idx="65">
                  <c:v>-114.18014053873077</c:v>
                </c:pt>
                <c:pt idx="66">
                  <c:v>-114.32160866372283</c:v>
                </c:pt>
                <c:pt idx="67">
                  <c:v>-114.46236422318161</c:v>
                </c:pt>
                <c:pt idx="68">
                  <c:v>-114.60242287895062</c:v>
                </c:pt>
                <c:pt idx="69">
                  <c:v>-114.7417997274113</c:v>
                </c:pt>
                <c:pt idx="70">
                  <c:v>-114.8805093276588</c:v>
                </c:pt>
                <c:pt idx="71">
                  <c:v>-115.01856572789798</c:v>
                </c:pt>
                <c:pt idx="72">
                  <c:v>-115.15598249019521</c:v>
                </c:pt>
                <c:pt idx="73">
                  <c:v>-115.2927727137093</c:v>
                </c:pt>
                <c:pt idx="74">
                  <c:v>-115.42894905651428</c:v>
                </c:pt>
                <c:pt idx="75">
                  <c:v>-115.56452375611717</c:v>
                </c:pt>
                <c:pt idx="76">
                  <c:v>-115.69950864876449</c:v>
                </c:pt>
                <c:pt idx="77">
                  <c:v>-115.83391518762423</c:v>
                </c:pt>
                <c:pt idx="78">
                  <c:v>-115.96775445992182</c:v>
                </c:pt>
                <c:pt idx="79">
                  <c:v>-116.10103720310322</c:v>
                </c:pt>
                <c:pt idx="80">
                  <c:v>-116.23377382009144</c:v>
                </c:pt>
                <c:pt idx="81">
                  <c:v>-116.36597439369797</c:v>
                </c:pt>
                <c:pt idx="82">
                  <c:v>-116.49764870024575</c:v>
                </c:pt>
                <c:pt idx="83">
                  <c:v>-116.62880622245565</c:v>
                </c:pt>
                <c:pt idx="84">
                  <c:v>-116.75945616164452</c:v>
                </c:pt>
                <c:pt idx="85">
                  <c:v>-116.8896074492794</c:v>
                </c:pt>
                <c:pt idx="86">
                  <c:v>-117.01926875792877</c:v>
                </c:pt>
                <c:pt idx="87">
                  <c:v>-117.14844851164897</c:v>
                </c:pt>
                <c:pt idx="88">
                  <c:v>-117.27715489584088</c:v>
                </c:pt>
                <c:pt idx="89">
                  <c:v>-117.40539586660969</c:v>
                </c:pt>
                <c:pt idx="90">
                  <c:v>-117.53317915965789</c:v>
                </c:pt>
                <c:pt idx="91">
                  <c:v>-117.66051229873958</c:v>
                </c:pt>
                <c:pt idx="92">
                  <c:v>-117.78740260370245</c:v>
                </c:pt>
                <c:pt idx="93">
                  <c:v>-117.91385719814163</c:v>
                </c:pt>
                <c:pt idx="94">
                  <c:v>-118.03988301668807</c:v>
                </c:pt>
                <c:pt idx="95">
                  <c:v>-118.16548681195246</c:v>
                </c:pt>
                <c:pt idx="96">
                  <c:v>-118.29067516114466</c:v>
                </c:pt>
                <c:pt idx="97">
                  <c:v>-118.41545447238661</c:v>
                </c:pt>
                <c:pt idx="98">
                  <c:v>-118.53983099073628</c:v>
                </c:pt>
                <c:pt idx="99">
                  <c:v>-118.66381080393828</c:v>
                </c:pt>
                <c:pt idx="100">
                  <c:v>-118.78739984791645</c:v>
                </c:pt>
                <c:pt idx="101">
                  <c:v>-118.91060391202228</c:v>
                </c:pt>
                <c:pt idx="102">
                  <c:v>-119.03342864405235</c:v>
                </c:pt>
                <c:pt idx="103">
                  <c:v>-119.15587955504699</c:v>
                </c:pt>
                <c:pt idx="104">
                  <c:v>-119.27796202388194</c:v>
                </c:pt>
                <c:pt idx="105">
                  <c:v>-119.39968130166355</c:v>
                </c:pt>
                <c:pt idx="106">
                  <c:v>-119.52104251593786</c:v>
                </c:pt>
                <c:pt idx="107">
                  <c:v>-119.64205067472317</c:v>
                </c:pt>
                <c:pt idx="108">
                  <c:v>-119.76271067037467</c:v>
                </c:pt>
                <c:pt idx="109">
                  <c:v>-119.8830272832903</c:v>
                </c:pt>
                <c:pt idx="110">
                  <c:v>-120.00300518546493</c:v>
                </c:pt>
                <c:pt idx="111">
                  <c:v>-120.12264894390108</c:v>
                </c:pt>
                <c:pt idx="112">
                  <c:v>-120.24196302388268</c:v>
                </c:pt>
                <c:pt idx="113">
                  <c:v>-120.3609517921189</c:v>
                </c:pt>
                <c:pt idx="114">
                  <c:v>-120.47961951976403</c:v>
                </c:pt>
                <c:pt idx="115">
                  <c:v>-120.59797038531951</c:v>
                </c:pt>
                <c:pt idx="116">
                  <c:v>-120.71600847742361</c:v>
                </c:pt>
                <c:pt idx="117">
                  <c:v>-120.833737797534</c:v>
                </c:pt>
                <c:pt idx="118">
                  <c:v>-120.95116226250822</c:v>
                </c:pt>
                <c:pt idx="119">
                  <c:v>-121.06828570708691</c:v>
                </c:pt>
                <c:pt idx="120">
                  <c:v>-121.18511188628389</c:v>
                </c:pt>
                <c:pt idx="121">
                  <c:v>-121.30164447768769</c:v>
                </c:pt>
                <c:pt idx="122">
                  <c:v>-121.41788708367834</c:v>
                </c:pt>
                <c:pt idx="123">
                  <c:v>-121.53384323356309</c:v>
                </c:pt>
                <c:pt idx="124">
                  <c:v>-121.64951638563502</c:v>
                </c:pt>
                <c:pt idx="125">
                  <c:v>-121.7649099291574</c:v>
                </c:pt>
                <c:pt idx="126">
                  <c:v>-121.88002718627752</c:v>
                </c:pt>
                <c:pt idx="127">
                  <c:v>-121.99487141387279</c:v>
                </c:pt>
                <c:pt idx="128">
                  <c:v>-122.10944580533203</c:v>
                </c:pt>
                <c:pt idx="129">
                  <c:v>-122.22375349227471</c:v>
                </c:pt>
                <c:pt idx="130">
                  <c:v>-122.33779754621094</c:v>
                </c:pt>
                <c:pt idx="131">
                  <c:v>-122.45158098014431</c:v>
                </c:pt>
                <c:pt idx="132">
                  <c:v>-122.56510675012041</c:v>
                </c:pt>
                <c:pt idx="133">
                  <c:v>-122.67837775672297</c:v>
                </c:pt>
                <c:pt idx="134">
                  <c:v>-122.79139684651972</c:v>
                </c:pt>
                <c:pt idx="135">
                  <c:v>-122.90416681346039</c:v>
                </c:pt>
                <c:pt idx="136">
                  <c:v>-123.0166904002284</c:v>
                </c:pt>
                <c:pt idx="137">
                  <c:v>-123.1289702995481</c:v>
                </c:pt>
                <c:pt idx="138">
                  <c:v>-123.24100915544977</c:v>
                </c:pt>
                <c:pt idx="139">
                  <c:v>-123.35280956449343</c:v>
                </c:pt>
                <c:pt idx="140">
                  <c:v>-123.4643740769536</c:v>
                </c:pt>
                <c:pt idx="141">
                  <c:v>-123.5757051979662</c:v>
                </c:pt>
                <c:pt idx="142">
                  <c:v>-123.68680538863916</c:v>
                </c:pt>
                <c:pt idx="143">
                  <c:v>-123.79767706712826</c:v>
                </c:pt>
                <c:pt idx="144">
                  <c:v>-123.90832260967927</c:v>
                </c:pt>
                <c:pt idx="145">
                  <c:v>-124.01874435163784</c:v>
                </c:pt>
                <c:pt idx="146">
                  <c:v>-124.12894458842837</c:v>
                </c:pt>
                <c:pt idx="147">
                  <c:v>-124.23892557650291</c:v>
                </c:pt>
                <c:pt idx="148">
                  <c:v>-124.3486895342613</c:v>
                </c:pt>
                <c:pt idx="149">
                  <c:v>-124.4582386429435</c:v>
                </c:pt>
                <c:pt idx="150">
                  <c:v>-124.56757504749525</c:v>
                </c:pt>
                <c:pt idx="151">
                  <c:v>-124.67670085740797</c:v>
                </c:pt>
                <c:pt idx="152">
                  <c:v>-124.7856181475338</c:v>
                </c:pt>
                <c:pt idx="153">
                  <c:v>-124.89432895887671</c:v>
                </c:pt>
                <c:pt idx="154">
                  <c:v>-125.00283529936064</c:v>
                </c:pt>
                <c:pt idx="155">
                  <c:v>-125.11113914457518</c:v>
                </c:pt>
                <c:pt idx="156">
                  <c:v>-175.21924243849992</c:v>
                </c:pt>
                <c:pt idx="157">
                  <c:v>-175.32714709420799</c:v>
                </c:pt>
                <c:pt idx="158">
                  <c:v>-175.43485499454974</c:v>
                </c:pt>
                <c:pt idx="159">
                  <c:v>-175.54236799281682</c:v>
                </c:pt>
                <c:pt idx="160">
                  <c:v>-175.64968791338799</c:v>
                </c:pt>
                <c:pt idx="161">
                  <c:v>-175.7568165523565</c:v>
                </c:pt>
                <c:pt idx="162">
                  <c:v>-175.86375567814039</c:v>
                </c:pt>
                <c:pt idx="163">
                  <c:v>-175.97050703207577</c:v>
                </c:pt>
                <c:pt idx="164">
                  <c:v>-176.07707232899406</c:v>
                </c:pt>
                <c:pt idx="165">
                  <c:v>-176.18345325778316</c:v>
                </c:pt>
                <c:pt idx="166">
                  <c:v>-176.28965148193382</c:v>
                </c:pt>
                <c:pt idx="167">
                  <c:v>-176.39566864007105</c:v>
                </c:pt>
                <c:pt idx="168">
                  <c:v>-176.50150634647142</c:v>
                </c:pt>
                <c:pt idx="169">
                  <c:v>-176.60716619156659</c:v>
                </c:pt>
                <c:pt idx="170">
                  <c:v>-176.71264974243343</c:v>
                </c:pt>
                <c:pt idx="171">
                  <c:v>-176.81795854327157</c:v>
                </c:pt>
                <c:pt idx="172">
                  <c:v>-176.92309411586797</c:v>
                </c:pt>
                <c:pt idx="173">
                  <c:v>-177.02805796004995</c:v>
                </c:pt>
                <c:pt idx="174">
                  <c:v>-177.1328515541262</c:v>
                </c:pt>
                <c:pt idx="175">
                  <c:v>-177.23747635531649</c:v>
                </c:pt>
                <c:pt idx="176">
                  <c:v>-177.34193380017052</c:v>
                </c:pt>
                <c:pt idx="177">
                  <c:v>-177.44622530497611</c:v>
                </c:pt>
                <c:pt idx="178">
                  <c:v>-177.55035226615698</c:v>
                </c:pt>
                <c:pt idx="179">
                  <c:v>-177.65431606066068</c:v>
                </c:pt>
                <c:pt idx="180">
                  <c:v>-177.75811804633676</c:v>
                </c:pt>
                <c:pt idx="181">
                  <c:v>-177.86175956230554</c:v>
                </c:pt>
                <c:pt idx="182">
                  <c:v>-177.96524192931784</c:v>
                </c:pt>
                <c:pt idx="183">
                  <c:v>-178.06856645010581</c:v>
                </c:pt>
                <c:pt idx="184">
                  <c:v>-178.17173440972519</c:v>
                </c:pt>
                <c:pt idx="185">
                  <c:v>-178.27474707588937</c:v>
                </c:pt>
                <c:pt idx="186">
                  <c:v>-178.37760569929517</c:v>
                </c:pt>
                <c:pt idx="187">
                  <c:v>-178.48031151394107</c:v>
                </c:pt>
                <c:pt idx="188">
                  <c:v>-178.58286573743749</c:v>
                </c:pt>
                <c:pt idx="189">
                  <c:v>-178.68526957131002</c:v>
                </c:pt>
                <c:pt idx="190">
                  <c:v>-178.78752420129527</c:v>
                </c:pt>
                <c:pt idx="191">
                  <c:v>-178.88963079762988</c:v>
                </c:pt>
                <c:pt idx="192">
                  <c:v>-178.99159051533258</c:v>
                </c:pt>
                <c:pt idx="193">
                  <c:v>-179.09340449447998</c:v>
                </c:pt>
                <c:pt idx="194">
                  <c:v>-179.19507386047567</c:v>
                </c:pt>
                <c:pt idx="195">
                  <c:v>-179.29659972431335</c:v>
                </c:pt>
                <c:pt idx="196">
                  <c:v>-179.39798318283368</c:v>
                </c:pt>
                <c:pt idx="197">
                  <c:v>-179.49922531897562</c:v>
                </c:pt>
                <c:pt idx="198">
                  <c:v>-179.60032720202162</c:v>
                </c:pt>
                <c:pt idx="199">
                  <c:v>-179.70128988783776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34-4924-B5DF-66A9EC57A495}"/>
            </c:ext>
          </c:extLst>
        </c:ser>
        <c:ser>
          <c:idx val="17"/>
          <c:order val="17"/>
          <c:tx>
            <c:strRef>
              <c:f>Calculate!$S$1</c:f>
              <c:strCache>
                <c:ptCount val="1"/>
                <c:pt idx="0">
                  <c:v>Noise_ds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Calculate!$S$2:$S$201</c:f>
              <c:numCache>
                <c:formatCode>0.00</c:formatCode>
                <c:ptCount val="200"/>
                <c:pt idx="0">
                  <c:v>-138.38708034075637</c:v>
                </c:pt>
                <c:pt idx="1">
                  <c:v>-138.3870803407566</c:v>
                </c:pt>
                <c:pt idx="2">
                  <c:v>-138.38708034075617</c:v>
                </c:pt>
                <c:pt idx="3">
                  <c:v>-138.38708034075668</c:v>
                </c:pt>
                <c:pt idx="4">
                  <c:v>-138.38708034075671</c:v>
                </c:pt>
                <c:pt idx="5">
                  <c:v>-138.38708034075682</c:v>
                </c:pt>
                <c:pt idx="6">
                  <c:v>-138.3870803407564</c:v>
                </c:pt>
                <c:pt idx="7">
                  <c:v>-138.38708034075705</c:v>
                </c:pt>
                <c:pt idx="8">
                  <c:v>-138.38708034075611</c:v>
                </c:pt>
                <c:pt idx="9">
                  <c:v>-138.38708034075668</c:v>
                </c:pt>
                <c:pt idx="10">
                  <c:v>-138.38708034075748</c:v>
                </c:pt>
                <c:pt idx="11">
                  <c:v>-138.38708034075586</c:v>
                </c:pt>
                <c:pt idx="12">
                  <c:v>-138.38708034075711</c:v>
                </c:pt>
                <c:pt idx="13">
                  <c:v>-138.38708034075702</c:v>
                </c:pt>
                <c:pt idx="14">
                  <c:v>-138.38708034075688</c:v>
                </c:pt>
                <c:pt idx="15">
                  <c:v>-138.38708034075643</c:v>
                </c:pt>
                <c:pt idx="16">
                  <c:v>-138.3870803407568</c:v>
                </c:pt>
                <c:pt idx="17">
                  <c:v>-138.38708034075779</c:v>
                </c:pt>
                <c:pt idx="18">
                  <c:v>-138.38708034075671</c:v>
                </c:pt>
                <c:pt idx="19">
                  <c:v>-138.38708034075711</c:v>
                </c:pt>
                <c:pt idx="20">
                  <c:v>-138.38708034075714</c:v>
                </c:pt>
                <c:pt idx="21">
                  <c:v>-138.3870803407579</c:v>
                </c:pt>
                <c:pt idx="22">
                  <c:v>-138.3870803407562</c:v>
                </c:pt>
                <c:pt idx="23">
                  <c:v>-138.3870803407562</c:v>
                </c:pt>
                <c:pt idx="24">
                  <c:v>-138.38708034075668</c:v>
                </c:pt>
                <c:pt idx="25">
                  <c:v>-138.38708034075569</c:v>
                </c:pt>
                <c:pt idx="26">
                  <c:v>-138.38708034075603</c:v>
                </c:pt>
                <c:pt idx="27">
                  <c:v>-138.38708034075637</c:v>
                </c:pt>
                <c:pt idx="28">
                  <c:v>-138.38708034075697</c:v>
                </c:pt>
                <c:pt idx="29">
                  <c:v>-138.38708034075728</c:v>
                </c:pt>
                <c:pt idx="30">
                  <c:v>-138.38708034075631</c:v>
                </c:pt>
                <c:pt idx="31">
                  <c:v>-138.3870803407556</c:v>
                </c:pt>
                <c:pt idx="32">
                  <c:v>-138.38708034075574</c:v>
                </c:pt>
                <c:pt idx="33">
                  <c:v>-138.38708034075728</c:v>
                </c:pt>
                <c:pt idx="34">
                  <c:v>-138.38708034075643</c:v>
                </c:pt>
                <c:pt idx="35">
                  <c:v>-138.38708034075776</c:v>
                </c:pt>
                <c:pt idx="36">
                  <c:v>-138.38708034075583</c:v>
                </c:pt>
                <c:pt idx="37">
                  <c:v>-138.38708034075498</c:v>
                </c:pt>
                <c:pt idx="38">
                  <c:v>-138.38708034075827</c:v>
                </c:pt>
                <c:pt idx="39">
                  <c:v>-138.38708034075759</c:v>
                </c:pt>
                <c:pt idx="40">
                  <c:v>-138.38708034075592</c:v>
                </c:pt>
                <c:pt idx="41">
                  <c:v>-138.38708034075697</c:v>
                </c:pt>
                <c:pt idx="42">
                  <c:v>-138.38708034075819</c:v>
                </c:pt>
                <c:pt idx="43">
                  <c:v>-138.38708034075674</c:v>
                </c:pt>
                <c:pt idx="44">
                  <c:v>-138.38708034075469</c:v>
                </c:pt>
                <c:pt idx="45">
                  <c:v>-138.38708034075574</c:v>
                </c:pt>
                <c:pt idx="46">
                  <c:v>-138.38708034075836</c:v>
                </c:pt>
                <c:pt idx="47">
                  <c:v>-138.38708034075768</c:v>
                </c:pt>
                <c:pt idx="48">
                  <c:v>-138.38708034075719</c:v>
                </c:pt>
                <c:pt idx="49">
                  <c:v>-138.38708034075643</c:v>
                </c:pt>
                <c:pt idx="50">
                  <c:v>-138.38708034075614</c:v>
                </c:pt>
                <c:pt idx="51">
                  <c:v>-138.38708034075682</c:v>
                </c:pt>
                <c:pt idx="52">
                  <c:v>-138.3870803407556</c:v>
                </c:pt>
                <c:pt idx="53">
                  <c:v>-138.38708034075233</c:v>
                </c:pt>
                <c:pt idx="54">
                  <c:v>-138.38708034075583</c:v>
                </c:pt>
                <c:pt idx="55">
                  <c:v>-138.38708034075614</c:v>
                </c:pt>
                <c:pt idx="56">
                  <c:v>-138.38708034075407</c:v>
                </c:pt>
                <c:pt idx="57">
                  <c:v>-138.3870803407589</c:v>
                </c:pt>
                <c:pt idx="58">
                  <c:v>-138.3870803407537</c:v>
                </c:pt>
                <c:pt idx="59">
                  <c:v>-138.38708034075728</c:v>
                </c:pt>
                <c:pt idx="60">
                  <c:v>-138.38708034075944</c:v>
                </c:pt>
                <c:pt idx="61">
                  <c:v>-138.38708034075592</c:v>
                </c:pt>
                <c:pt idx="62">
                  <c:v>-138.38708034075631</c:v>
                </c:pt>
                <c:pt idx="63">
                  <c:v>-138.38708034075975</c:v>
                </c:pt>
                <c:pt idx="64">
                  <c:v>-138.38708034075469</c:v>
                </c:pt>
                <c:pt idx="65">
                  <c:v>-138.38708034075805</c:v>
                </c:pt>
                <c:pt idx="66">
                  <c:v>-138.38708034075668</c:v>
                </c:pt>
                <c:pt idx="67">
                  <c:v>-138.38708034075913</c:v>
                </c:pt>
                <c:pt idx="68">
                  <c:v>-138.38708034076018</c:v>
                </c:pt>
                <c:pt idx="69">
                  <c:v>-138.38708034075529</c:v>
                </c:pt>
                <c:pt idx="70">
                  <c:v>-138.38708034075759</c:v>
                </c:pt>
                <c:pt idx="71">
                  <c:v>-138.38708034075606</c:v>
                </c:pt>
                <c:pt idx="72">
                  <c:v>-138.3870803407556</c:v>
                </c:pt>
                <c:pt idx="73">
                  <c:v>-138.38708034075805</c:v>
                </c:pt>
                <c:pt idx="74">
                  <c:v>-138.38708034075759</c:v>
                </c:pt>
                <c:pt idx="75">
                  <c:v>-138.38708034075989</c:v>
                </c:pt>
                <c:pt idx="76">
                  <c:v>-138.38708034075518</c:v>
                </c:pt>
                <c:pt idx="77">
                  <c:v>-138.38708034076049</c:v>
                </c:pt>
                <c:pt idx="78">
                  <c:v>-138.38708034075714</c:v>
                </c:pt>
                <c:pt idx="79">
                  <c:v>-138.38708034075407</c:v>
                </c:pt>
                <c:pt idx="80">
                  <c:v>-138.38708034075668</c:v>
                </c:pt>
                <c:pt idx="81">
                  <c:v>-138.38708034075361</c:v>
                </c:pt>
                <c:pt idx="82">
                  <c:v>-138.38708034075975</c:v>
                </c:pt>
                <c:pt idx="83">
                  <c:v>-138.38708034075776</c:v>
                </c:pt>
                <c:pt idx="84">
                  <c:v>-138.38708034075592</c:v>
                </c:pt>
                <c:pt idx="85">
                  <c:v>-138.38708034076112</c:v>
                </c:pt>
                <c:pt idx="86">
                  <c:v>-138.38708034075682</c:v>
                </c:pt>
                <c:pt idx="87">
                  <c:v>-138.38708034075421</c:v>
                </c:pt>
                <c:pt idx="88">
                  <c:v>-138.38708034075714</c:v>
                </c:pt>
                <c:pt idx="89">
                  <c:v>-138.38708034075668</c:v>
                </c:pt>
                <c:pt idx="90">
                  <c:v>-138.38708034075927</c:v>
                </c:pt>
                <c:pt idx="91">
                  <c:v>-138.38708034075867</c:v>
                </c:pt>
                <c:pt idx="92">
                  <c:v>-138.38708034075455</c:v>
                </c:pt>
                <c:pt idx="93">
                  <c:v>-138.38708034075393</c:v>
                </c:pt>
                <c:pt idx="94">
                  <c:v>-138.38708034075574</c:v>
                </c:pt>
                <c:pt idx="95">
                  <c:v>-138.38708034075637</c:v>
                </c:pt>
                <c:pt idx="96">
                  <c:v>-138.38708034075682</c:v>
                </c:pt>
                <c:pt idx="97">
                  <c:v>-138.38708034076143</c:v>
                </c:pt>
                <c:pt idx="98">
                  <c:v>-138.3870803407556</c:v>
                </c:pt>
                <c:pt idx="99">
                  <c:v>-138.38708034075867</c:v>
                </c:pt>
                <c:pt idx="100">
                  <c:v>-138.38708034075697</c:v>
                </c:pt>
                <c:pt idx="101">
                  <c:v>-138.38708034075592</c:v>
                </c:pt>
                <c:pt idx="102">
                  <c:v>-138.38708034075913</c:v>
                </c:pt>
                <c:pt idx="103">
                  <c:v>-138.38708034075256</c:v>
                </c:pt>
                <c:pt idx="104">
                  <c:v>-138.3870803407579</c:v>
                </c:pt>
                <c:pt idx="105">
                  <c:v>-138.38708034075668</c:v>
                </c:pt>
                <c:pt idx="106">
                  <c:v>-138.38708034075469</c:v>
                </c:pt>
                <c:pt idx="107">
                  <c:v>-138.38708034075714</c:v>
                </c:pt>
                <c:pt idx="108">
                  <c:v>-138.38708034075518</c:v>
                </c:pt>
                <c:pt idx="109">
                  <c:v>-138.3870803407622</c:v>
                </c:pt>
                <c:pt idx="110">
                  <c:v>-138.3870803407622</c:v>
                </c:pt>
                <c:pt idx="111">
                  <c:v>-138.38708034075484</c:v>
                </c:pt>
                <c:pt idx="112">
                  <c:v>-138.38708034075086</c:v>
                </c:pt>
                <c:pt idx="113">
                  <c:v>-138.3870803407533</c:v>
                </c:pt>
                <c:pt idx="114">
                  <c:v>-138.38708034075853</c:v>
                </c:pt>
                <c:pt idx="115">
                  <c:v>-138.38708034075026</c:v>
                </c:pt>
                <c:pt idx="116">
                  <c:v>-138.38708034075361</c:v>
                </c:pt>
                <c:pt idx="117">
                  <c:v>-138.3870803407533</c:v>
                </c:pt>
                <c:pt idx="118">
                  <c:v>-138.38708034075958</c:v>
                </c:pt>
                <c:pt idx="119">
                  <c:v>-138.38708034075606</c:v>
                </c:pt>
                <c:pt idx="120">
                  <c:v>-138.38708034075407</c:v>
                </c:pt>
                <c:pt idx="121">
                  <c:v>-138.38708034076188</c:v>
                </c:pt>
                <c:pt idx="122">
                  <c:v>-138.38708034075484</c:v>
                </c:pt>
                <c:pt idx="123">
                  <c:v>-138.38708034075393</c:v>
                </c:pt>
                <c:pt idx="124">
                  <c:v>-138.38708034076126</c:v>
                </c:pt>
                <c:pt idx="125">
                  <c:v>-138.38708034076311</c:v>
                </c:pt>
                <c:pt idx="126">
                  <c:v>-138.38708034075117</c:v>
                </c:pt>
                <c:pt idx="127">
                  <c:v>-138.38708034076203</c:v>
                </c:pt>
                <c:pt idx="128">
                  <c:v>-138.38708034075592</c:v>
                </c:pt>
                <c:pt idx="129">
                  <c:v>-138.38708034075225</c:v>
                </c:pt>
                <c:pt idx="130">
                  <c:v>-138.38708034075194</c:v>
                </c:pt>
                <c:pt idx="131">
                  <c:v>-138.38708034074918</c:v>
                </c:pt>
                <c:pt idx="132">
                  <c:v>-138.38708034075898</c:v>
                </c:pt>
                <c:pt idx="133">
                  <c:v>-138.3870803407608</c:v>
                </c:pt>
                <c:pt idx="134">
                  <c:v>-138.38708034075316</c:v>
                </c:pt>
                <c:pt idx="135">
                  <c:v>-138.38708034075438</c:v>
                </c:pt>
                <c:pt idx="136">
                  <c:v>-138.38708034075867</c:v>
                </c:pt>
                <c:pt idx="137">
                  <c:v>-138.3870803407608</c:v>
                </c:pt>
                <c:pt idx="138">
                  <c:v>-138.38708034075316</c:v>
                </c:pt>
                <c:pt idx="139">
                  <c:v>-138.38708034075009</c:v>
                </c:pt>
                <c:pt idx="140">
                  <c:v>-138.38708034075131</c:v>
                </c:pt>
                <c:pt idx="141">
                  <c:v>-138.38708034076049</c:v>
                </c:pt>
                <c:pt idx="142">
                  <c:v>-138.38708034075592</c:v>
                </c:pt>
                <c:pt idx="143">
                  <c:v>-138.38708034075438</c:v>
                </c:pt>
                <c:pt idx="144">
                  <c:v>-138.38708034075407</c:v>
                </c:pt>
                <c:pt idx="145">
                  <c:v>-138.38708034075529</c:v>
                </c:pt>
                <c:pt idx="146">
                  <c:v>-138.38708034075592</c:v>
                </c:pt>
                <c:pt idx="147">
                  <c:v>-138.38708034075469</c:v>
                </c:pt>
                <c:pt idx="148">
                  <c:v>-138.38708034075071</c:v>
                </c:pt>
                <c:pt idx="149">
                  <c:v>-138.38708034075529</c:v>
                </c:pt>
                <c:pt idx="150">
                  <c:v>-138.38708034075469</c:v>
                </c:pt>
                <c:pt idx="151">
                  <c:v>-138.38708034075745</c:v>
                </c:pt>
                <c:pt idx="152">
                  <c:v>-138.38708034076143</c:v>
                </c:pt>
                <c:pt idx="153">
                  <c:v>-138.3870803407703</c:v>
                </c:pt>
                <c:pt idx="154">
                  <c:v>-138.38708034075958</c:v>
                </c:pt>
                <c:pt idx="155">
                  <c:v>-138.38708034074764</c:v>
                </c:pt>
                <c:pt idx="156">
                  <c:v>-139.99998046781653</c:v>
                </c:pt>
                <c:pt idx="157">
                  <c:v>-139.99998046781653</c:v>
                </c:pt>
                <c:pt idx="158">
                  <c:v>-139.99998046781653</c:v>
                </c:pt>
                <c:pt idx="159">
                  <c:v>-139.99998046781653</c:v>
                </c:pt>
                <c:pt idx="160">
                  <c:v>-139.99998046781653</c:v>
                </c:pt>
                <c:pt idx="161">
                  <c:v>-139.99998046781653</c:v>
                </c:pt>
                <c:pt idx="162">
                  <c:v>-139.99998046781653</c:v>
                </c:pt>
                <c:pt idx="163">
                  <c:v>-139.99998046781653</c:v>
                </c:pt>
                <c:pt idx="164">
                  <c:v>-139.99998046781653</c:v>
                </c:pt>
                <c:pt idx="165">
                  <c:v>-139.99998046781653</c:v>
                </c:pt>
                <c:pt idx="166">
                  <c:v>-139.99998046781653</c:v>
                </c:pt>
                <c:pt idx="167">
                  <c:v>-139.99998046781653</c:v>
                </c:pt>
                <c:pt idx="168">
                  <c:v>-139.99998046781653</c:v>
                </c:pt>
                <c:pt idx="169">
                  <c:v>-139.99998046781653</c:v>
                </c:pt>
                <c:pt idx="170">
                  <c:v>-139.99998046781653</c:v>
                </c:pt>
                <c:pt idx="171">
                  <c:v>-139.99998046781653</c:v>
                </c:pt>
                <c:pt idx="172">
                  <c:v>-139.99998046781653</c:v>
                </c:pt>
                <c:pt idx="173">
                  <c:v>-139.99998046781653</c:v>
                </c:pt>
                <c:pt idx="174">
                  <c:v>-139.99998046781653</c:v>
                </c:pt>
                <c:pt idx="175">
                  <c:v>-139.99998046781653</c:v>
                </c:pt>
                <c:pt idx="176">
                  <c:v>-139.99998046781653</c:v>
                </c:pt>
                <c:pt idx="177">
                  <c:v>-139.99998046781653</c:v>
                </c:pt>
                <c:pt idx="178">
                  <c:v>-139.99998046781653</c:v>
                </c:pt>
                <c:pt idx="179">
                  <c:v>-139.99998046781653</c:v>
                </c:pt>
                <c:pt idx="180">
                  <c:v>-139.99998046781653</c:v>
                </c:pt>
                <c:pt idx="181">
                  <c:v>-139.99998046781653</c:v>
                </c:pt>
                <c:pt idx="182">
                  <c:v>-139.99998046781653</c:v>
                </c:pt>
                <c:pt idx="183">
                  <c:v>-139.99998046781653</c:v>
                </c:pt>
                <c:pt idx="184">
                  <c:v>-139.99998046781653</c:v>
                </c:pt>
                <c:pt idx="185">
                  <c:v>-139.99998046781653</c:v>
                </c:pt>
                <c:pt idx="186">
                  <c:v>-139.99998046781653</c:v>
                </c:pt>
                <c:pt idx="187">
                  <c:v>-139.99998046781653</c:v>
                </c:pt>
                <c:pt idx="188">
                  <c:v>-139.99998046781653</c:v>
                </c:pt>
                <c:pt idx="189">
                  <c:v>-139.99998046781653</c:v>
                </c:pt>
                <c:pt idx="190">
                  <c:v>-139.99998046781653</c:v>
                </c:pt>
                <c:pt idx="191">
                  <c:v>-139.99998046781653</c:v>
                </c:pt>
                <c:pt idx="192">
                  <c:v>-139.99998046781653</c:v>
                </c:pt>
                <c:pt idx="193">
                  <c:v>-139.99998046781653</c:v>
                </c:pt>
                <c:pt idx="194">
                  <c:v>-139.99998046781653</c:v>
                </c:pt>
                <c:pt idx="195">
                  <c:v>-139.99998046781653</c:v>
                </c:pt>
                <c:pt idx="196">
                  <c:v>-139.99998046781653</c:v>
                </c:pt>
                <c:pt idx="197">
                  <c:v>-139.99998046781653</c:v>
                </c:pt>
                <c:pt idx="198">
                  <c:v>-139.99998046781653</c:v>
                </c:pt>
                <c:pt idx="199">
                  <c:v>-139.99998046781653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34-4924-B5DF-66A9EC57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634-4924-B5DF-66A9EC57A495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Calculate!$C$2:$C$201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-1.6086600973579019</c:v>
                      </c:pt>
                      <c:pt idx="1">
                        <c:v>-2.3017195625033811</c:v>
                      </c:pt>
                      <c:pt idx="2">
                        <c:v>-2.8441401407273181</c:v>
                      </c:pt>
                      <c:pt idx="3">
                        <c:v>-3.308584293214575</c:v>
                      </c:pt>
                      <c:pt idx="4">
                        <c:v>-3.7231972125563821</c:v>
                      </c:pt>
                      <c:pt idx="5">
                        <c:v>-4.1024134670205363</c:v>
                      </c:pt>
                      <c:pt idx="6">
                        <c:v>-4.4548078522595347</c:v>
                      </c:pt>
                      <c:pt idx="7">
                        <c:v>-4.7859673220043044</c:v>
                      </c:pt>
                      <c:pt idx="8">
                        <c:v>-5.0997725875700182</c:v>
                      </c:pt>
                      <c:pt idx="9">
                        <c:v>-5.3990491712440027</c:v>
                      </c:pt>
                      <c:pt idx="10">
                        <c:v>-5.685930114120759</c:v>
                      </c:pt>
                      <c:pt idx="11">
                        <c:v>-5.9620725769509502</c:v>
                      </c:pt>
                      <c:pt idx="12">
                        <c:v>-6.2287944126856614</c:v>
                      </c:pt>
                      <c:pt idx="13">
                        <c:v>-6.4871641314314834</c:v>
                      </c:pt>
                      <c:pt idx="14">
                        <c:v>-6.7380623387201517</c:v>
                      </c:pt>
                      <c:pt idx="15">
                        <c:v>-6.9822249804242347</c:v>
                      </c:pt>
                      <c:pt idx="16">
                        <c:v>-7.2202745753939679</c:v>
                      </c:pt>
                      <c:pt idx="17">
                        <c:v>-7.4527432785027692</c:v>
                      </c:pt>
                      <c:pt idx="18">
                        <c:v>-7.6800902433629776</c:v>
                      </c:pt>
                      <c:pt idx="19">
                        <c:v>-7.9027149176066178</c:v>
                      </c:pt>
                      <c:pt idx="20">
                        <c:v>-8.1209673780334501</c:v>
                      </c:pt>
                      <c:pt idx="21">
                        <c:v>-8.3351564733807191</c:v>
                      </c:pt>
                      <c:pt idx="22">
                        <c:v>-8.54555631767664</c:v>
                      </c:pt>
                      <c:pt idx="23">
                        <c:v>-8.7524115250336969</c:v>
                      </c:pt>
                      <c:pt idx="24">
                        <c:v>-8.9559414717772192</c:v>
                      </c:pt>
                      <c:pt idx="25">
                        <c:v>-9.1563437980821885</c:v>
                      </c:pt>
                      <c:pt idx="26">
                        <c:v>-9.3537973086708934</c:v>
                      </c:pt>
                      <c:pt idx="27">
                        <c:v>-9.5484643940104643</c:v>
                      </c:pt>
                      <c:pt idx="28">
                        <c:v>-9.7404930654702966</c:v>
                      </c:pt>
                      <c:pt idx="29">
                        <c:v>-9.9300186771046075</c:v>
                      </c:pt>
                      <c:pt idx="30">
                        <c:v>-10.117165391093316</c:v>
                      </c:pt>
                      <c:pt idx="31">
                        <c:v>-10.302047431998776</c:v>
                      </c:pt>
                      <c:pt idx="32">
                        <c:v>-10.484770165885148</c:v>
                      </c:pt>
                      <c:pt idx="33">
                        <c:v>-10.665431033293812</c:v>
                      </c:pt>
                      <c:pt idx="34">
                        <c:v>-10.844120359560939</c:v>
                      </c:pt>
                      <c:pt idx="35">
                        <c:v>-11.020922061628974</c:v>
                      </c:pt>
                      <c:pt idx="36">
                        <c:v>-11.195914267066911</c:v>
                      </c:pt>
                      <c:pt idx="37">
                        <c:v>-11.369169858270054</c:v>
                      </c:pt>
                      <c:pt idx="38">
                        <c:v>-11.540756952604273</c:v>
                      </c:pt>
                      <c:pt idx="39">
                        <c:v>-11.710739327475716</c:v>
                      </c:pt>
                      <c:pt idx="40">
                        <c:v>-11.879176797855802</c:v>
                      </c:pt>
                      <c:pt idx="41">
                        <c:v>-12.046125552604051</c:v>
                      </c:pt>
                      <c:pt idx="42">
                        <c:v>-12.211638454954921</c:v>
                      </c:pt>
                      <c:pt idx="43">
                        <c:v>-12.375765311727999</c:v>
                      </c:pt>
                      <c:pt idx="44">
                        <c:v>-12.538553115150709</c:v>
                      </c:pt>
                      <c:pt idx="45">
                        <c:v>-12.700046260623886</c:v>
                      </c:pt>
                      <c:pt idx="46">
                        <c:v>-12.860286743292132</c:v>
                      </c:pt>
                      <c:pt idx="47">
                        <c:v>-13.019314335887149</c:v>
                      </c:pt>
                      <c:pt idx="48">
                        <c:v>-13.177166749979506</c:v>
                      </c:pt>
                      <c:pt idx="49">
                        <c:v>-13.333879782492327</c:v>
                      </c:pt>
                      <c:pt idx="50">
                        <c:v>-13.489487449090658</c:v>
                      </c:pt>
                      <c:pt idx="51">
                        <c:v>-13.644022105855345</c:v>
                      </c:pt>
                      <c:pt idx="52">
                        <c:v>-13.797514560475067</c:v>
                      </c:pt>
                      <c:pt idx="53">
                        <c:v>-13.949994174039483</c:v>
                      </c:pt>
                      <c:pt idx="54">
                        <c:v>-14.101488954386667</c:v>
                      </c:pt>
                      <c:pt idx="55">
                        <c:v>-14.252025641845758</c:v>
                      </c:pt>
                      <c:pt idx="56">
                        <c:v>-14.401629788118674</c:v>
                      </c:pt>
                      <c:pt idx="57">
                        <c:v>-14.550325828960156</c:v>
                      </c:pt>
                      <c:pt idx="58">
                        <c:v>-14.698137151241845</c:v>
                      </c:pt>
                      <c:pt idx="59">
                        <c:v>-14.845086154921869</c:v>
                      </c:pt>
                      <c:pt idx="60">
                        <c:v>-14.991194310385065</c:v>
                      </c:pt>
                      <c:pt idx="61">
                        <c:v>-15.136482211569669</c:v>
                      </c:pt>
                      <c:pt idx="62">
                        <c:v>-15.280969625252791</c:v>
                      </c:pt>
                      <c:pt idx="63">
                        <c:v>-15.424675536828801</c:v>
                      </c:pt>
                      <c:pt idx="64">
                        <c:v>-15.567618192880904</c:v>
                      </c:pt>
                      <c:pt idx="65">
                        <c:v>-15.709815140816211</c:v>
                      </c:pt>
                      <c:pt idx="66">
                        <c:v>-15.851283265808258</c:v>
                      </c:pt>
                      <c:pt idx="67">
                        <c:v>-15.992038825267043</c:v>
                      </c:pt>
                      <c:pt idx="68">
                        <c:v>-16.132097481036062</c:v>
                      </c:pt>
                      <c:pt idx="69">
                        <c:v>-16.271474329496741</c:v>
                      </c:pt>
                      <c:pt idx="70">
                        <c:v>-16.410183929744232</c:v>
                      </c:pt>
                      <c:pt idx="71">
                        <c:v>-16.548240329983415</c:v>
                      </c:pt>
                      <c:pt idx="72">
                        <c:v>-16.685657092280653</c:v>
                      </c:pt>
                      <c:pt idx="73">
                        <c:v>-16.822447315794733</c:v>
                      </c:pt>
                      <c:pt idx="74">
                        <c:v>-16.95862365859972</c:v>
                      </c:pt>
                      <c:pt idx="75">
                        <c:v>-17.0941983582026</c:v>
                      </c:pt>
                      <c:pt idx="76">
                        <c:v>-17.229183250849935</c:v>
                      </c:pt>
                      <c:pt idx="77">
                        <c:v>-17.36358978970966</c:v>
                      </c:pt>
                      <c:pt idx="78">
                        <c:v>-17.497429062007249</c:v>
                      </c:pt>
                      <c:pt idx="79">
                        <c:v>-17.630711805188653</c:v>
                      </c:pt>
                      <c:pt idx="80">
                        <c:v>-17.763448422176872</c:v>
                      </c:pt>
                      <c:pt idx="81">
                        <c:v>-17.895648995783404</c:v>
                      </c:pt>
                      <c:pt idx="82">
                        <c:v>-18.02732330233119</c:v>
                      </c:pt>
                      <c:pt idx="83">
                        <c:v>-18.15848082454109</c:v>
                      </c:pt>
                      <c:pt idx="84">
                        <c:v>-18.289130763729958</c:v>
                      </c:pt>
                      <c:pt idx="85">
                        <c:v>-18.419282051364839</c:v>
                      </c:pt>
                      <c:pt idx="86">
                        <c:v>-18.548943360014206</c:v>
                      </c:pt>
                      <c:pt idx="87">
                        <c:v>-18.678123113734397</c:v>
                      </c:pt>
                      <c:pt idx="88">
                        <c:v>-18.806829497926316</c:v>
                      </c:pt>
                      <c:pt idx="89">
                        <c:v>-18.935070468695137</c:v>
                      </c:pt>
                      <c:pt idx="90">
                        <c:v>-19.06285376174333</c:v>
                      </c:pt>
                      <c:pt idx="91">
                        <c:v>-19.190186900825008</c:v>
                      </c:pt>
                      <c:pt idx="92">
                        <c:v>-19.317077205787875</c:v>
                      </c:pt>
                      <c:pt idx="93">
                        <c:v>-19.443531800227067</c:v>
                      </c:pt>
                      <c:pt idx="94">
                        <c:v>-19.569557618773501</c:v>
                      </c:pt>
                      <c:pt idx="95">
                        <c:v>-19.695161414037898</c:v>
                      </c:pt>
                      <c:pt idx="96">
                        <c:v>-19.820349763230091</c:v>
                      </c:pt>
                      <c:pt idx="97">
                        <c:v>-19.94512907447205</c:v>
                      </c:pt>
                      <c:pt idx="98">
                        <c:v>-20.069505592821717</c:v>
                      </c:pt>
                      <c:pt idx="99">
                        <c:v>-20.193485406023711</c:v>
                      </c:pt>
                      <c:pt idx="100">
                        <c:v>-20.317074450001879</c:v>
                      </c:pt>
                      <c:pt idx="101">
                        <c:v>-20.440278514107721</c:v>
                      </c:pt>
                      <c:pt idx="102">
                        <c:v>-20.563103246137786</c:v>
                      </c:pt>
                      <c:pt idx="103">
                        <c:v>-20.685554157132422</c:v>
                      </c:pt>
                      <c:pt idx="104">
                        <c:v>-20.807636625967373</c:v>
                      </c:pt>
                      <c:pt idx="105">
                        <c:v>-20.929355903748981</c:v>
                      </c:pt>
                      <c:pt idx="106">
                        <c:v>-21.050717118023307</c:v>
                      </c:pt>
                      <c:pt idx="107">
                        <c:v>-21.171725276808601</c:v>
                      </c:pt>
                      <c:pt idx="108">
                        <c:v>-21.292385272460113</c:v>
                      </c:pt>
                      <c:pt idx="109">
                        <c:v>-21.412701885375736</c:v>
                      </c:pt>
                      <c:pt idx="110">
                        <c:v>-21.532679787550371</c:v>
                      </c:pt>
                      <c:pt idx="111">
                        <c:v>-21.652323545986516</c:v>
                      </c:pt>
                      <c:pt idx="112">
                        <c:v>-21.771637625968111</c:v>
                      </c:pt>
                      <c:pt idx="113">
                        <c:v>-21.890626394204336</c:v>
                      </c:pt>
                      <c:pt idx="114">
                        <c:v>-22.009294121849464</c:v>
                      </c:pt>
                      <c:pt idx="115">
                        <c:v>-22.127644987404953</c:v>
                      </c:pt>
                      <c:pt idx="116">
                        <c:v>-22.24568307950905</c:v>
                      </c:pt>
                      <c:pt idx="117">
                        <c:v>-22.363412399619431</c:v>
                      </c:pt>
                      <c:pt idx="118">
                        <c:v>-22.480836864593659</c:v>
                      </c:pt>
                      <c:pt idx="119">
                        <c:v>-22.597960309172343</c:v>
                      </c:pt>
                      <c:pt idx="120">
                        <c:v>-22.714786488369324</c:v>
                      </c:pt>
                      <c:pt idx="121">
                        <c:v>-22.831319079773127</c:v>
                      </c:pt>
                      <c:pt idx="122">
                        <c:v>-22.94756168576377</c:v>
                      </c:pt>
                      <c:pt idx="123">
                        <c:v>-23.063517835648533</c:v>
                      </c:pt>
                      <c:pt idx="124">
                        <c:v>-23.179190987720457</c:v>
                      </c:pt>
                      <c:pt idx="125">
                        <c:v>-23.294584531242826</c:v>
                      </c:pt>
                      <c:pt idx="126">
                        <c:v>-23.409701788362948</c:v>
                      </c:pt>
                      <c:pt idx="127">
                        <c:v>-23.524546015958222</c:v>
                      </c:pt>
                      <c:pt idx="128">
                        <c:v>-23.639120407417458</c:v>
                      </c:pt>
                      <c:pt idx="129">
                        <c:v>-23.753428094360146</c:v>
                      </c:pt>
                      <c:pt idx="130">
                        <c:v>-23.867472148296368</c:v>
                      </c:pt>
                      <c:pt idx="131">
                        <c:v>-23.981255582229743</c:v>
                      </c:pt>
                      <c:pt idx="132">
                        <c:v>-24.09478135220585</c:v>
                      </c:pt>
                      <c:pt idx="133">
                        <c:v>-24.208052358808398</c:v>
                      </c:pt>
                      <c:pt idx="134">
                        <c:v>-24.321071448605146</c:v>
                      </c:pt>
                      <c:pt idx="135">
                        <c:v>-24.433841415545835</c:v>
                      </c:pt>
                      <c:pt idx="136">
                        <c:v>-24.546365002313831</c:v>
                      </c:pt>
                      <c:pt idx="137">
                        <c:v>-24.65864490163354</c:v>
                      </c:pt>
                      <c:pt idx="138">
                        <c:v>-24.770683757535203</c:v>
                      </c:pt>
                      <c:pt idx="139">
                        <c:v>-24.882484166578863</c:v>
                      </c:pt>
                      <c:pt idx="140">
                        <c:v>-24.994048679039036</c:v>
                      </c:pt>
                      <c:pt idx="141">
                        <c:v>-25.105379800051633</c:v>
                      </c:pt>
                      <c:pt idx="142">
                        <c:v>-25.216479990724597</c:v>
                      </c:pt>
                      <c:pt idx="143">
                        <c:v>-25.327351669213702</c:v>
                      </c:pt>
                      <c:pt idx="144">
                        <c:v>-25.437997211764706</c:v>
                      </c:pt>
                      <c:pt idx="145">
                        <c:v>-25.548418953723271</c:v>
                      </c:pt>
                      <c:pt idx="146">
                        <c:v>-25.658619190513797</c:v>
                      </c:pt>
                      <c:pt idx="147">
                        <c:v>-25.768600178588343</c:v>
                      </c:pt>
                      <c:pt idx="148">
                        <c:v>-25.878364136346736</c:v>
                      </c:pt>
                      <c:pt idx="149">
                        <c:v>-25.987913245028935</c:v>
                      </c:pt>
                      <c:pt idx="150">
                        <c:v>-26.097249649580686</c:v>
                      </c:pt>
                      <c:pt idx="151">
                        <c:v>-26.206375459493401</c:v>
                      </c:pt>
                      <c:pt idx="152">
                        <c:v>-26.315292749619225</c:v>
                      </c:pt>
                      <c:pt idx="153">
                        <c:v>-26.424003560962149</c:v>
                      </c:pt>
                      <c:pt idx="154">
                        <c:v>-26.53250990144608</c:v>
                      </c:pt>
                      <c:pt idx="155">
                        <c:v>-26.640813746660616</c:v>
                      </c:pt>
                      <c:pt idx="156">
                        <c:v>-26.74891704058534</c:v>
                      </c:pt>
                      <c:pt idx="157">
                        <c:v>-26.856821696293423</c:v>
                      </c:pt>
                      <c:pt idx="158">
                        <c:v>-26.964529596635167</c:v>
                      </c:pt>
                      <c:pt idx="159">
                        <c:v>-27.072042594902268</c:v>
                      </c:pt>
                      <c:pt idx="160">
                        <c:v>-27.179362515473436</c:v>
                      </c:pt>
                      <c:pt idx="161">
                        <c:v>-27.28649115444194</c:v>
                      </c:pt>
                      <c:pt idx="162">
                        <c:v>-27.393430280225818</c:v>
                      </c:pt>
                      <c:pt idx="163">
                        <c:v>-27.500181634161216</c:v>
                      </c:pt>
                      <c:pt idx="164">
                        <c:v>-27.606746931079485</c:v>
                      </c:pt>
                      <c:pt idx="165">
                        <c:v>-27.713127859868582</c:v>
                      </c:pt>
                      <c:pt idx="166">
                        <c:v>-27.819326084019245</c:v>
                      </c:pt>
                      <c:pt idx="167">
                        <c:v>-27.92534324215648</c:v>
                      </c:pt>
                      <c:pt idx="168">
                        <c:v>-28.031180948556852</c:v>
                      </c:pt>
                      <c:pt idx="169">
                        <c:v>-28.136840793652013</c:v>
                      </c:pt>
                      <c:pt idx="170">
                        <c:v>-28.242324344518877</c:v>
                      </c:pt>
                      <c:pt idx="171">
                        <c:v>-28.347633145356994</c:v>
                      </c:pt>
                      <c:pt idx="172">
                        <c:v>-28.452768717953397</c:v>
                      </c:pt>
                      <c:pt idx="173">
                        <c:v>-28.557732562135392</c:v>
                      </c:pt>
                      <c:pt idx="174">
                        <c:v>-28.662526156211637</c:v>
                      </c:pt>
                      <c:pt idx="175">
                        <c:v>-28.767150957401917</c:v>
                      </c:pt>
                      <c:pt idx="176">
                        <c:v>-28.871608402255951</c:v>
                      </c:pt>
                      <c:pt idx="177">
                        <c:v>-28.975899907061535</c:v>
                      </c:pt>
                      <c:pt idx="178">
                        <c:v>-29.080026868242406</c:v>
                      </c:pt>
                      <c:pt idx="179">
                        <c:v>-29.183990662746108</c:v>
                      </c:pt>
                      <c:pt idx="180">
                        <c:v>-29.287792648422194</c:v>
                      </c:pt>
                      <c:pt idx="181">
                        <c:v>-29.391434164390979</c:v>
                      </c:pt>
                      <c:pt idx="182">
                        <c:v>-29.49491653140328</c:v>
                      </c:pt>
                      <c:pt idx="183">
                        <c:v>-29.598241052191238</c:v>
                      </c:pt>
                      <c:pt idx="184">
                        <c:v>-29.701409011810622</c:v>
                      </c:pt>
                      <c:pt idx="185">
                        <c:v>-29.804421677974794</c:v>
                      </c:pt>
                      <c:pt idx="186">
                        <c:v>-29.907280301380609</c:v>
                      </c:pt>
                      <c:pt idx="187">
                        <c:v>-30.0099861160265</c:v>
                      </c:pt>
                      <c:pt idx="188">
                        <c:v>-30.112540339522923</c:v>
                      </c:pt>
                      <c:pt idx="189">
                        <c:v>-30.214944173395448</c:v>
                      </c:pt>
                      <c:pt idx="190">
                        <c:v>-30.317198803380709</c:v>
                      </c:pt>
                      <c:pt idx="191">
                        <c:v>-30.419305399715306</c:v>
                      </c:pt>
                      <c:pt idx="192">
                        <c:v>-30.521265117418015</c:v>
                      </c:pt>
                      <c:pt idx="193">
                        <c:v>-30.623079096565419</c:v>
                      </c:pt>
                      <c:pt idx="194">
                        <c:v>-30.72474846256112</c:v>
                      </c:pt>
                      <c:pt idx="195">
                        <c:v>-30.826274326398789</c:v>
                      </c:pt>
                      <c:pt idx="196">
                        <c:v>-30.92765778491912</c:v>
                      </c:pt>
                      <c:pt idx="197">
                        <c:v>-31.028899921061043</c:v>
                      </c:pt>
                      <c:pt idx="198">
                        <c:v>-31.130001804107057</c:v>
                      </c:pt>
                      <c:pt idx="199">
                        <c:v>-31.230964489923203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34-4924-B5DF-66A9EC57A49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Calculate!$D$2:$D$201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34-4924-B5DF-66A9EC57A49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34-4924-B5DF-66A9EC57A495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634-4924-B5DF-66A9EC57A495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634-4924-B5DF-66A9EC57A495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634-4924-B5DF-66A9EC57A495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634-4924-B5DF-66A9EC57A495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634-4924-B5DF-66A9EC57A495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634-4924-B5DF-66A9EC57A495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634-4924-B5DF-66A9EC57A495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634-4924-B5DF-66A9EC57A495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634-4924-B5DF-66A9EC57A495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634-4924-B5DF-66A9EC57A495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Calculate!$T$2:$T$201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634-4924-B5DF-66A9EC57A495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Calculate!$U$2:$U$201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634-4924-B5DF-66A9EC57A495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634-4924-B5DF-66A9EC57A495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634-4924-B5DF-66A9EC57A495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Insertion Loss and Echo Transfer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Calculate!$C$1</c:f>
              <c:strCache>
                <c:ptCount val="1"/>
                <c:pt idx="0">
                  <c:v>IL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Calculate!$C$2:$C$201</c:f>
              <c:numCache>
                <c:formatCode>General</c:formatCode>
                <c:ptCount val="200"/>
                <c:pt idx="0">
                  <c:v>-1.6086600973579019</c:v>
                </c:pt>
                <c:pt idx="1">
                  <c:v>-2.3017195625033811</c:v>
                </c:pt>
                <c:pt idx="2">
                  <c:v>-2.8441401407273181</c:v>
                </c:pt>
                <c:pt idx="3">
                  <c:v>-3.308584293214575</c:v>
                </c:pt>
                <c:pt idx="4">
                  <c:v>-3.7231972125563821</c:v>
                </c:pt>
                <c:pt idx="5">
                  <c:v>-4.1024134670205363</c:v>
                </c:pt>
                <c:pt idx="6">
                  <c:v>-4.4548078522595347</c:v>
                </c:pt>
                <c:pt idx="7">
                  <c:v>-4.7859673220043044</c:v>
                </c:pt>
                <c:pt idx="8">
                  <c:v>-5.0997725875700182</c:v>
                </c:pt>
                <c:pt idx="9">
                  <c:v>-5.3990491712440027</c:v>
                </c:pt>
                <c:pt idx="10">
                  <c:v>-5.685930114120759</c:v>
                </c:pt>
                <c:pt idx="11">
                  <c:v>-5.9620725769509502</c:v>
                </c:pt>
                <c:pt idx="12">
                  <c:v>-6.2287944126856614</c:v>
                </c:pt>
                <c:pt idx="13">
                  <c:v>-6.4871641314314834</c:v>
                </c:pt>
                <c:pt idx="14">
                  <c:v>-6.7380623387201517</c:v>
                </c:pt>
                <c:pt idx="15">
                  <c:v>-6.9822249804242347</c:v>
                </c:pt>
                <c:pt idx="16">
                  <c:v>-7.2202745753939679</c:v>
                </c:pt>
                <c:pt idx="17">
                  <c:v>-7.4527432785027692</c:v>
                </c:pt>
                <c:pt idx="18">
                  <c:v>-7.6800902433629776</c:v>
                </c:pt>
                <c:pt idx="19">
                  <c:v>-7.9027149176066178</c:v>
                </c:pt>
                <c:pt idx="20">
                  <c:v>-8.1209673780334501</c:v>
                </c:pt>
                <c:pt idx="21">
                  <c:v>-8.3351564733807191</c:v>
                </c:pt>
                <c:pt idx="22">
                  <c:v>-8.54555631767664</c:v>
                </c:pt>
                <c:pt idx="23">
                  <c:v>-8.7524115250336969</c:v>
                </c:pt>
                <c:pt idx="24">
                  <c:v>-8.9559414717772192</c:v>
                </c:pt>
                <c:pt idx="25">
                  <c:v>-9.1563437980821885</c:v>
                </c:pt>
                <c:pt idx="26">
                  <c:v>-9.3537973086708934</c:v>
                </c:pt>
                <c:pt idx="27">
                  <c:v>-9.5484643940104643</c:v>
                </c:pt>
                <c:pt idx="28">
                  <c:v>-9.7404930654702966</c:v>
                </c:pt>
                <c:pt idx="29">
                  <c:v>-9.9300186771046075</c:v>
                </c:pt>
                <c:pt idx="30">
                  <c:v>-10.117165391093316</c:v>
                </c:pt>
                <c:pt idx="31">
                  <c:v>-10.302047431998776</c:v>
                </c:pt>
                <c:pt idx="32">
                  <c:v>-10.484770165885148</c:v>
                </c:pt>
                <c:pt idx="33">
                  <c:v>-10.665431033293812</c:v>
                </c:pt>
                <c:pt idx="34">
                  <c:v>-10.844120359560939</c:v>
                </c:pt>
                <c:pt idx="35">
                  <c:v>-11.020922061628974</c:v>
                </c:pt>
                <c:pt idx="36">
                  <c:v>-11.195914267066911</c:v>
                </c:pt>
                <c:pt idx="37">
                  <c:v>-11.369169858270054</c:v>
                </c:pt>
                <c:pt idx="38">
                  <c:v>-11.540756952604273</c:v>
                </c:pt>
                <c:pt idx="39">
                  <c:v>-11.710739327475716</c:v>
                </c:pt>
                <c:pt idx="40">
                  <c:v>-11.879176797855802</c:v>
                </c:pt>
                <c:pt idx="41">
                  <c:v>-12.046125552604051</c:v>
                </c:pt>
                <c:pt idx="42">
                  <c:v>-12.211638454954921</c:v>
                </c:pt>
                <c:pt idx="43">
                  <c:v>-12.375765311727999</c:v>
                </c:pt>
                <c:pt idx="44">
                  <c:v>-12.538553115150709</c:v>
                </c:pt>
                <c:pt idx="45">
                  <c:v>-12.700046260623886</c:v>
                </c:pt>
                <c:pt idx="46">
                  <c:v>-12.860286743292132</c:v>
                </c:pt>
                <c:pt idx="47">
                  <c:v>-13.019314335887149</c:v>
                </c:pt>
                <c:pt idx="48">
                  <c:v>-13.177166749979506</c:v>
                </c:pt>
                <c:pt idx="49">
                  <c:v>-13.333879782492327</c:v>
                </c:pt>
                <c:pt idx="50">
                  <c:v>-13.489487449090658</c:v>
                </c:pt>
                <c:pt idx="51">
                  <c:v>-13.644022105855345</c:v>
                </c:pt>
                <c:pt idx="52">
                  <c:v>-13.797514560475067</c:v>
                </c:pt>
                <c:pt idx="53">
                  <c:v>-13.949994174039483</c:v>
                </c:pt>
                <c:pt idx="54">
                  <c:v>-14.101488954386667</c:v>
                </c:pt>
                <c:pt idx="55">
                  <c:v>-14.252025641845758</c:v>
                </c:pt>
                <c:pt idx="56">
                  <c:v>-14.401629788118674</c:v>
                </c:pt>
                <c:pt idx="57">
                  <c:v>-14.550325828960156</c:v>
                </c:pt>
                <c:pt idx="58">
                  <c:v>-14.698137151241845</c:v>
                </c:pt>
                <c:pt idx="59">
                  <c:v>-14.845086154921869</c:v>
                </c:pt>
                <c:pt idx="60">
                  <c:v>-14.991194310385065</c:v>
                </c:pt>
                <c:pt idx="61">
                  <c:v>-15.136482211569669</c:v>
                </c:pt>
                <c:pt idx="62">
                  <c:v>-15.280969625252791</c:v>
                </c:pt>
                <c:pt idx="63">
                  <c:v>-15.424675536828801</c:v>
                </c:pt>
                <c:pt idx="64">
                  <c:v>-15.567618192880904</c:v>
                </c:pt>
                <c:pt idx="65">
                  <c:v>-15.709815140816211</c:v>
                </c:pt>
                <c:pt idx="66">
                  <c:v>-15.851283265808258</c:v>
                </c:pt>
                <c:pt idx="67">
                  <c:v>-15.992038825267043</c:v>
                </c:pt>
                <c:pt idx="68">
                  <c:v>-16.132097481036062</c:v>
                </c:pt>
                <c:pt idx="69">
                  <c:v>-16.271474329496741</c:v>
                </c:pt>
                <c:pt idx="70">
                  <c:v>-16.410183929744232</c:v>
                </c:pt>
                <c:pt idx="71">
                  <c:v>-16.548240329983415</c:v>
                </c:pt>
                <c:pt idx="72">
                  <c:v>-16.685657092280653</c:v>
                </c:pt>
                <c:pt idx="73">
                  <c:v>-16.822447315794733</c:v>
                </c:pt>
                <c:pt idx="74">
                  <c:v>-16.95862365859972</c:v>
                </c:pt>
                <c:pt idx="75">
                  <c:v>-17.0941983582026</c:v>
                </c:pt>
                <c:pt idx="76">
                  <c:v>-17.229183250849935</c:v>
                </c:pt>
                <c:pt idx="77">
                  <c:v>-17.36358978970966</c:v>
                </c:pt>
                <c:pt idx="78">
                  <c:v>-17.497429062007249</c:v>
                </c:pt>
                <c:pt idx="79">
                  <c:v>-17.630711805188653</c:v>
                </c:pt>
                <c:pt idx="80">
                  <c:v>-17.763448422176872</c:v>
                </c:pt>
                <c:pt idx="81">
                  <c:v>-17.895648995783404</c:v>
                </c:pt>
                <c:pt idx="82">
                  <c:v>-18.02732330233119</c:v>
                </c:pt>
                <c:pt idx="83">
                  <c:v>-18.15848082454109</c:v>
                </c:pt>
                <c:pt idx="84">
                  <c:v>-18.289130763729958</c:v>
                </c:pt>
                <c:pt idx="85">
                  <c:v>-18.419282051364839</c:v>
                </c:pt>
                <c:pt idx="86">
                  <c:v>-18.548943360014206</c:v>
                </c:pt>
                <c:pt idx="87">
                  <c:v>-18.678123113734397</c:v>
                </c:pt>
                <c:pt idx="88">
                  <c:v>-18.806829497926316</c:v>
                </c:pt>
                <c:pt idx="89">
                  <c:v>-18.935070468695137</c:v>
                </c:pt>
                <c:pt idx="90">
                  <c:v>-19.06285376174333</c:v>
                </c:pt>
                <c:pt idx="91">
                  <c:v>-19.190186900825008</c:v>
                </c:pt>
                <c:pt idx="92">
                  <c:v>-19.317077205787875</c:v>
                </c:pt>
                <c:pt idx="93">
                  <c:v>-19.443531800227067</c:v>
                </c:pt>
                <c:pt idx="94">
                  <c:v>-19.569557618773501</c:v>
                </c:pt>
                <c:pt idx="95">
                  <c:v>-19.695161414037898</c:v>
                </c:pt>
                <c:pt idx="96">
                  <c:v>-19.820349763230091</c:v>
                </c:pt>
                <c:pt idx="97">
                  <c:v>-19.94512907447205</c:v>
                </c:pt>
                <c:pt idx="98">
                  <c:v>-20.069505592821717</c:v>
                </c:pt>
                <c:pt idx="99">
                  <c:v>-20.193485406023711</c:v>
                </c:pt>
                <c:pt idx="100">
                  <c:v>-20.317074450001879</c:v>
                </c:pt>
                <c:pt idx="101">
                  <c:v>-20.440278514107721</c:v>
                </c:pt>
                <c:pt idx="102">
                  <c:v>-20.563103246137786</c:v>
                </c:pt>
                <c:pt idx="103">
                  <c:v>-20.685554157132422</c:v>
                </c:pt>
                <c:pt idx="104">
                  <c:v>-20.807636625967373</c:v>
                </c:pt>
                <c:pt idx="105">
                  <c:v>-20.929355903748981</c:v>
                </c:pt>
                <c:pt idx="106">
                  <c:v>-21.050717118023307</c:v>
                </c:pt>
                <c:pt idx="107">
                  <c:v>-21.171725276808601</c:v>
                </c:pt>
                <c:pt idx="108">
                  <c:v>-21.292385272460113</c:v>
                </c:pt>
                <c:pt idx="109">
                  <c:v>-21.412701885375736</c:v>
                </c:pt>
                <c:pt idx="110">
                  <c:v>-21.532679787550371</c:v>
                </c:pt>
                <c:pt idx="111">
                  <c:v>-21.652323545986516</c:v>
                </c:pt>
                <c:pt idx="112">
                  <c:v>-21.771637625968111</c:v>
                </c:pt>
                <c:pt idx="113">
                  <c:v>-21.890626394204336</c:v>
                </c:pt>
                <c:pt idx="114">
                  <c:v>-22.009294121849464</c:v>
                </c:pt>
                <c:pt idx="115">
                  <c:v>-22.127644987404953</c:v>
                </c:pt>
                <c:pt idx="116">
                  <c:v>-22.24568307950905</c:v>
                </c:pt>
                <c:pt idx="117">
                  <c:v>-22.363412399619431</c:v>
                </c:pt>
                <c:pt idx="118">
                  <c:v>-22.480836864593659</c:v>
                </c:pt>
                <c:pt idx="119">
                  <c:v>-22.597960309172343</c:v>
                </c:pt>
                <c:pt idx="120">
                  <c:v>-22.714786488369324</c:v>
                </c:pt>
                <c:pt idx="121">
                  <c:v>-22.831319079773127</c:v>
                </c:pt>
                <c:pt idx="122">
                  <c:v>-22.94756168576377</c:v>
                </c:pt>
                <c:pt idx="123">
                  <c:v>-23.063517835648533</c:v>
                </c:pt>
                <c:pt idx="124">
                  <c:v>-23.179190987720457</c:v>
                </c:pt>
                <c:pt idx="125">
                  <c:v>-23.294584531242826</c:v>
                </c:pt>
                <c:pt idx="126">
                  <c:v>-23.409701788362948</c:v>
                </c:pt>
                <c:pt idx="127">
                  <c:v>-23.524546015958222</c:v>
                </c:pt>
                <c:pt idx="128">
                  <c:v>-23.639120407417458</c:v>
                </c:pt>
                <c:pt idx="129">
                  <c:v>-23.753428094360146</c:v>
                </c:pt>
                <c:pt idx="130">
                  <c:v>-23.867472148296368</c:v>
                </c:pt>
                <c:pt idx="131">
                  <c:v>-23.981255582229743</c:v>
                </c:pt>
                <c:pt idx="132">
                  <c:v>-24.09478135220585</c:v>
                </c:pt>
                <c:pt idx="133">
                  <c:v>-24.208052358808398</c:v>
                </c:pt>
                <c:pt idx="134">
                  <c:v>-24.321071448605146</c:v>
                </c:pt>
                <c:pt idx="135">
                  <c:v>-24.433841415545835</c:v>
                </c:pt>
                <c:pt idx="136">
                  <c:v>-24.546365002313831</c:v>
                </c:pt>
                <c:pt idx="137">
                  <c:v>-24.65864490163354</c:v>
                </c:pt>
                <c:pt idx="138">
                  <c:v>-24.770683757535203</c:v>
                </c:pt>
                <c:pt idx="139">
                  <c:v>-24.882484166578863</c:v>
                </c:pt>
                <c:pt idx="140">
                  <c:v>-24.994048679039036</c:v>
                </c:pt>
                <c:pt idx="141">
                  <c:v>-25.105379800051633</c:v>
                </c:pt>
                <c:pt idx="142">
                  <c:v>-25.216479990724597</c:v>
                </c:pt>
                <c:pt idx="143">
                  <c:v>-25.327351669213702</c:v>
                </c:pt>
                <c:pt idx="144">
                  <c:v>-25.437997211764706</c:v>
                </c:pt>
                <c:pt idx="145">
                  <c:v>-25.548418953723271</c:v>
                </c:pt>
                <c:pt idx="146">
                  <c:v>-25.658619190513797</c:v>
                </c:pt>
                <c:pt idx="147">
                  <c:v>-25.768600178588343</c:v>
                </c:pt>
                <c:pt idx="148">
                  <c:v>-25.878364136346736</c:v>
                </c:pt>
                <c:pt idx="149">
                  <c:v>-25.987913245028935</c:v>
                </c:pt>
                <c:pt idx="150">
                  <c:v>-26.097249649580686</c:v>
                </c:pt>
                <c:pt idx="151">
                  <c:v>-26.206375459493401</c:v>
                </c:pt>
                <c:pt idx="152">
                  <c:v>-26.315292749619225</c:v>
                </c:pt>
                <c:pt idx="153">
                  <c:v>-26.424003560962149</c:v>
                </c:pt>
                <c:pt idx="154">
                  <c:v>-26.53250990144608</c:v>
                </c:pt>
                <c:pt idx="155">
                  <c:v>-26.640813746660616</c:v>
                </c:pt>
                <c:pt idx="156">
                  <c:v>-26.74891704058534</c:v>
                </c:pt>
                <c:pt idx="157">
                  <c:v>-26.856821696293423</c:v>
                </c:pt>
                <c:pt idx="158">
                  <c:v>-26.964529596635167</c:v>
                </c:pt>
                <c:pt idx="159">
                  <c:v>-27.072042594902268</c:v>
                </c:pt>
                <c:pt idx="160">
                  <c:v>-27.179362515473436</c:v>
                </c:pt>
                <c:pt idx="161">
                  <c:v>-27.28649115444194</c:v>
                </c:pt>
                <c:pt idx="162">
                  <c:v>-27.393430280225818</c:v>
                </c:pt>
                <c:pt idx="163">
                  <c:v>-27.500181634161216</c:v>
                </c:pt>
                <c:pt idx="164">
                  <c:v>-27.606746931079485</c:v>
                </c:pt>
                <c:pt idx="165">
                  <c:v>-27.713127859868582</c:v>
                </c:pt>
                <c:pt idx="166">
                  <c:v>-27.819326084019245</c:v>
                </c:pt>
                <c:pt idx="167">
                  <c:v>-27.92534324215648</c:v>
                </c:pt>
                <c:pt idx="168">
                  <c:v>-28.031180948556852</c:v>
                </c:pt>
                <c:pt idx="169">
                  <c:v>-28.136840793652013</c:v>
                </c:pt>
                <c:pt idx="170">
                  <c:v>-28.242324344518877</c:v>
                </c:pt>
                <c:pt idx="171">
                  <c:v>-28.347633145356994</c:v>
                </c:pt>
                <c:pt idx="172">
                  <c:v>-28.452768717953397</c:v>
                </c:pt>
                <c:pt idx="173">
                  <c:v>-28.557732562135392</c:v>
                </c:pt>
                <c:pt idx="174">
                  <c:v>-28.662526156211637</c:v>
                </c:pt>
                <c:pt idx="175">
                  <c:v>-28.767150957401917</c:v>
                </c:pt>
                <c:pt idx="176">
                  <c:v>-28.871608402255951</c:v>
                </c:pt>
                <c:pt idx="177">
                  <c:v>-28.975899907061535</c:v>
                </c:pt>
                <c:pt idx="178">
                  <c:v>-29.080026868242406</c:v>
                </c:pt>
                <c:pt idx="179">
                  <c:v>-29.183990662746108</c:v>
                </c:pt>
                <c:pt idx="180">
                  <c:v>-29.287792648422194</c:v>
                </c:pt>
                <c:pt idx="181">
                  <c:v>-29.391434164390979</c:v>
                </c:pt>
                <c:pt idx="182">
                  <c:v>-29.49491653140328</c:v>
                </c:pt>
                <c:pt idx="183">
                  <c:v>-29.598241052191238</c:v>
                </c:pt>
                <c:pt idx="184">
                  <c:v>-29.701409011810622</c:v>
                </c:pt>
                <c:pt idx="185">
                  <c:v>-29.804421677974794</c:v>
                </c:pt>
                <c:pt idx="186">
                  <c:v>-29.907280301380609</c:v>
                </c:pt>
                <c:pt idx="187">
                  <c:v>-30.0099861160265</c:v>
                </c:pt>
                <c:pt idx="188">
                  <c:v>-30.112540339522923</c:v>
                </c:pt>
                <c:pt idx="189">
                  <c:v>-30.214944173395448</c:v>
                </c:pt>
                <c:pt idx="190">
                  <c:v>-30.317198803380709</c:v>
                </c:pt>
                <c:pt idx="191">
                  <c:v>-30.419305399715306</c:v>
                </c:pt>
                <c:pt idx="192">
                  <c:v>-30.521265117418015</c:v>
                </c:pt>
                <c:pt idx="193">
                  <c:v>-30.623079096565419</c:v>
                </c:pt>
                <c:pt idx="194">
                  <c:v>-30.72474846256112</c:v>
                </c:pt>
                <c:pt idx="195">
                  <c:v>-30.826274326398789</c:v>
                </c:pt>
                <c:pt idx="196">
                  <c:v>-30.92765778491912</c:v>
                </c:pt>
                <c:pt idx="197">
                  <c:v>-31.028899921061043</c:v>
                </c:pt>
                <c:pt idx="198">
                  <c:v>-31.130001804107057</c:v>
                </c:pt>
                <c:pt idx="199">
                  <c:v>-31.230964489923203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5169-4604-BD43-F47A4CB4DF59}"/>
            </c:ext>
          </c:extLst>
        </c:ser>
        <c:ser>
          <c:idx val="6"/>
          <c:order val="7"/>
          <c:tx>
            <c:strRef>
              <c:f>Calculate!$H$1</c:f>
              <c:strCache>
                <c:ptCount val="1"/>
                <c:pt idx="0">
                  <c:v>Echo_transfer_us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Calculate!$H$2:$H$201</c:f>
              <c:numCache>
                <c:formatCode>0.00</c:formatCode>
                <c:ptCount val="200"/>
                <c:pt idx="0">
                  <c:v>-24.219341161639086</c:v>
                </c:pt>
                <c:pt idx="1">
                  <c:v>-23.419886033428877</c:v>
                </c:pt>
                <c:pt idx="2">
                  <c:v>-22.744967311406846</c:v>
                </c:pt>
                <c:pt idx="3">
                  <c:v>-22.160964207272652</c:v>
                </c:pt>
                <c:pt idx="4">
                  <c:v>-21.646265475299913</c:v>
                </c:pt>
                <c:pt idx="5">
                  <c:v>-21.186153432294272</c:v>
                </c:pt>
                <c:pt idx="6">
                  <c:v>-20.770151842911172</c:v>
                </c:pt>
                <c:pt idx="7">
                  <c:v>-20.390538042661689</c:v>
                </c:pt>
                <c:pt idx="8">
                  <c:v>-20.04145520125434</c:v>
                </c:pt>
                <c:pt idx="9">
                  <c:v>-19.718355805755305</c:v>
                </c:pt>
                <c:pt idx="10">
                  <c:v>-19.417638310572329</c:v>
                </c:pt>
                <c:pt idx="11">
                  <c:v>-19.13640169325252</c:v>
                </c:pt>
                <c:pt idx="12">
                  <c:v>-18.872274788946303</c:v>
                </c:pt>
                <c:pt idx="13">
                  <c:v>-18.62329462763245</c:v>
                </c:pt>
                <c:pt idx="14">
                  <c:v>-18.387817803089842</c:v>
                </c:pt>
                <c:pt idx="15">
                  <c:v>-18.164454663811387</c:v>
                </c:pt>
                <c:pt idx="16">
                  <c:v>-17.952019618091455</c:v>
                </c:pt>
                <c:pt idx="17">
                  <c:v>-17.749493038619516</c:v>
                </c:pt>
                <c:pt idx="18">
                  <c:v>-17.555991661986305</c:v>
                </c:pt>
                <c:pt idx="19">
                  <c:v>-17.370745306681684</c:v>
                </c:pt>
                <c:pt idx="20">
                  <c:v>-17.193078357148828</c:v>
                </c:pt>
                <c:pt idx="21">
                  <c:v>-17.022394889008666</c:v>
                </c:pt>
                <c:pt idx="22">
                  <c:v>-16.858166608626227</c:v>
                </c:pt>
                <c:pt idx="23">
                  <c:v>-16.699922991272413</c:v>
                </c:pt>
                <c:pt idx="24">
                  <c:v>-16.547243153792227</c:v>
                </c:pt>
                <c:pt idx="25">
                  <c:v>-16.399749108106025</c:v>
                </c:pt>
                <c:pt idx="26">
                  <c:v>-16.257100123246889</c:v>
                </c:pt>
                <c:pt idx="27">
                  <c:v>-16.118987984294836</c:v>
                </c:pt>
                <c:pt idx="28">
                  <c:v>-15.985132982258305</c:v>
                </c:pt>
                <c:pt idx="29">
                  <c:v>-15.855280503706977</c:v>
                </c:pt>
                <c:pt idx="30">
                  <c:v>-15.729198115636407</c:v>
                </c:pt>
                <c:pt idx="31">
                  <c:v>-15.606673061697375</c:v>
                </c:pt>
                <c:pt idx="32">
                  <c:v>-15.487510102038627</c:v>
                </c:pt>
                <c:pt idx="33">
                  <c:v>-15.371529641683264</c:v>
                </c:pt>
                <c:pt idx="34">
                  <c:v>-15.258566102391946</c:v>
                </c:pt>
                <c:pt idx="35">
                  <c:v>-15.148466500963478</c:v>
                </c:pt>
                <c:pt idx="36">
                  <c:v>-15.041089203338124</c:v>
                </c:pt>
                <c:pt idx="37">
                  <c:v>-14.936302829044958</c:v>
                </c:pt>
                <c:pt idx="38">
                  <c:v>-14.833985284734661</c:v>
                </c:pt>
                <c:pt idx="39">
                  <c:v>-14.734022908965478</c:v>
                </c:pt>
                <c:pt idx="40">
                  <c:v>-14.636309713219589</c:v>
                </c:pt>
                <c:pt idx="41">
                  <c:v>-14.540746706441572</c:v>
                </c:pt>
                <c:pt idx="42">
                  <c:v>-14.447241292306822</c:v>
                </c:pt>
                <c:pt idx="43">
                  <c:v>-14.355706730020168</c:v>
                </c:pt>
                <c:pt idx="44">
                  <c:v>-14.266061650774793</c:v>
                </c:pt>
                <c:pt idx="45">
                  <c:v>-14.178229623115913</c:v>
                </c:pt>
                <c:pt idx="46">
                  <c:v>-14.092138761391208</c:v>
                </c:pt>
                <c:pt idx="47">
                  <c:v>-14.007721372262038</c:v>
                </c:pt>
                <c:pt idx="48">
                  <c:v>-13.92491363492022</c:v>
                </c:pt>
                <c:pt idx="49">
                  <c:v>-13.843655311225845</c:v>
                </c:pt>
                <c:pt idx="50">
                  <c:v>-13.763889482468185</c:v>
                </c:pt>
                <c:pt idx="51">
                  <c:v>-13.685562309868279</c:v>
                </c:pt>
                <c:pt idx="52">
                  <c:v>-13.608622816299063</c:v>
                </c:pt>
                <c:pt idx="53">
                  <c:v>-13.533022687006655</c:v>
                </c:pt>
                <c:pt idx="54">
                  <c:v>-13.458716087381875</c:v>
                </c:pt>
                <c:pt idx="55">
                  <c:v>-13.385659496060802</c:v>
                </c:pt>
                <c:pt idx="56">
                  <c:v>-13.313811551832561</c:v>
                </c:pt>
                <c:pt idx="57">
                  <c:v>-13.243132913005988</c:v>
                </c:pt>
                <c:pt idx="58">
                  <c:v>-13.173586128037847</c:v>
                </c:pt>
                <c:pt idx="59">
                  <c:v>-13.105135516357523</c:v>
                </c:pt>
                <c:pt idx="60">
                  <c:v>-13.03774705843878</c:v>
                </c:pt>
                <c:pt idx="61">
                  <c:v>-12.97138829427071</c:v>
                </c:pt>
                <c:pt idx="62">
                  <c:v>-12.906028229469321</c:v>
                </c:pt>
                <c:pt idx="63">
                  <c:v>-12.841637248350064</c:v>
                </c:pt>
                <c:pt idx="64">
                  <c:v>-12.778187033350925</c:v>
                </c:pt>
                <c:pt idx="65">
                  <c:v>-12.715650490257456</c:v>
                </c:pt>
                <c:pt idx="66">
                  <c:v>-12.654001678735424</c:v>
                </c:pt>
                <c:pt idx="67">
                  <c:v>-12.593215747725452</c:v>
                </c:pt>
                <c:pt idx="68">
                  <c:v>-12.533268875296768</c:v>
                </c:pt>
                <c:pt idx="69">
                  <c:v>-12.474138212595909</c:v>
                </c:pt>
                <c:pt idx="70">
                  <c:v>-12.415801831560207</c:v>
                </c:pt>
                <c:pt idx="71">
                  <c:v>-12.358238676096693</c:v>
                </c:pt>
                <c:pt idx="72">
                  <c:v>-12.301428516454404</c:v>
                </c:pt>
                <c:pt idx="73">
                  <c:v>-12.245351906542608</c:v>
                </c:pt>
                <c:pt idx="74">
                  <c:v>-12.189990143969695</c:v>
                </c:pt>
                <c:pt idx="75">
                  <c:v>-12.135325232597179</c:v>
                </c:pt>
                <c:pt idx="76">
                  <c:v>-12.081339847421255</c:v>
                </c:pt>
                <c:pt idx="77">
                  <c:v>-12.028017301610411</c:v>
                </c:pt>
                <c:pt idx="78">
                  <c:v>-11.975341515542159</c:v>
                </c:pt>
                <c:pt idx="79">
                  <c:v>-11.923296987695164</c:v>
                </c:pt>
                <c:pt idx="80">
                  <c:v>-11.871868767264942</c:v>
                </c:pt>
                <c:pt idx="81">
                  <c:v>-11.821042428382047</c:v>
                </c:pt>
                <c:pt idx="82">
                  <c:v>-11.770804045821544</c:v>
                </c:pt>
                <c:pt idx="83">
                  <c:v>-11.721140172101443</c:v>
                </c:pt>
                <c:pt idx="84">
                  <c:v>-11.672037815875873</c:v>
                </c:pt>
                <c:pt idx="85">
                  <c:v>-11.623484421536077</c:v>
                </c:pt>
                <c:pt idx="86">
                  <c:v>-11.575467849939194</c:v>
                </c:pt>
                <c:pt idx="87">
                  <c:v>-11.527976360190767</c:v>
                </c:pt>
                <c:pt idx="88">
                  <c:v>-11.480998592412558</c:v>
                </c:pt>
                <c:pt idx="89">
                  <c:v>-11.434523551432523</c:v>
                </c:pt>
                <c:pt idx="90">
                  <c:v>-11.388540591338188</c:v>
                </c:pt>
                <c:pt idx="91">
                  <c:v>-11.343039400839295</c:v>
                </c:pt>
                <c:pt idx="92">
                  <c:v>-11.2980099893893</c:v>
                </c:pt>
                <c:pt idx="93">
                  <c:v>-11.253442674018988</c:v>
                </c:pt>
                <c:pt idx="94">
                  <c:v>-11.209328066838873</c:v>
                </c:pt>
                <c:pt idx="95">
                  <c:v>-11.16565706316991</c:v>
                </c:pt>
                <c:pt idx="96">
                  <c:v>-11.122420830265119</c:v>
                </c:pt>
                <c:pt idx="97">
                  <c:v>-11.079610796587085</c:v>
                </c:pt>
                <c:pt idx="98">
                  <c:v>-11.037218641608789</c:v>
                </c:pt>
                <c:pt idx="99">
                  <c:v>-10.995236286107433</c:v>
                </c:pt>
                <c:pt idx="100">
                  <c:v>-10.953655882922941</c:v>
                </c:pt>
                <c:pt idx="101">
                  <c:v>-10.912469808154663</c:v>
                </c:pt>
                <c:pt idx="102">
                  <c:v>-10.871670652771622</c:v>
                </c:pt>
                <c:pt idx="103">
                  <c:v>-10.831251214613168</c:v>
                </c:pt>
                <c:pt idx="104">
                  <c:v>-10.791204490758473</c:v>
                </c:pt>
                <c:pt idx="105">
                  <c:v>-10.75152367024463</c:v>
                </c:pt>
                <c:pt idx="106">
                  <c:v>-10.71220212711442</c:v>
                </c:pt>
                <c:pt idx="107">
                  <c:v>-10.673233413775996</c:v>
                </c:pt>
                <c:pt idx="108">
                  <c:v>-10.634611254657829</c:v>
                </c:pt>
                <c:pt idx="109">
                  <c:v>-10.596329540143348</c:v>
                </c:pt>
                <c:pt idx="110">
                  <c:v>-10.558382320770532</c:v>
                </c:pt>
                <c:pt idx="111">
                  <c:v>-10.520763801682737</c:v>
                </c:pt>
                <c:pt idx="112">
                  <c:v>-10.483468337317836</c:v>
                </c:pt>
                <c:pt idx="113">
                  <c:v>-10.446490426323402</c:v>
                </c:pt>
                <c:pt idx="114">
                  <c:v>-10.409824706686596</c:v>
                </c:pt>
                <c:pt idx="115">
                  <c:v>-10.373465951067891</c:v>
                </c:pt>
                <c:pt idx="116">
                  <c:v>-10.337409062328508</c:v>
                </c:pt>
                <c:pt idx="117">
                  <c:v>-10.301649069242025</c:v>
                </c:pt>
                <c:pt idx="118">
                  <c:v>-10.266181122381074</c:v>
                </c:pt>
                <c:pt idx="119">
                  <c:v>-10.23100049017062</c:v>
                </c:pt>
                <c:pt idx="120">
                  <c:v>-10.196102555099911</c:v>
                </c:pt>
                <c:pt idx="121">
                  <c:v>-10.161482810085282</c:v>
                </c:pt>
                <c:pt idx="122">
                  <c:v>-10.1271368549769</c:v>
                </c:pt>
                <c:pt idx="123">
                  <c:v>-10.093060393202485</c:v>
                </c:pt>
                <c:pt idx="124">
                  <c:v>-10.059249228541729</c:v>
                </c:pt>
                <c:pt idx="125">
                  <c:v>-10.02569926202529</c:v>
                </c:pt>
                <c:pt idx="126">
                  <c:v>-9.9924064889526285</c:v>
                </c:pt>
                <c:pt idx="127">
                  <c:v>-9.9593669960233306</c:v>
                </c:pt>
                <c:pt idx="128">
                  <c:v>-9.9265769585766925</c:v>
                </c:pt>
                <c:pt idx="129">
                  <c:v>-9.8940326379347496</c:v>
                </c:pt>
                <c:pt idx="130">
                  <c:v>-9.8617303788441006</c:v>
                </c:pt>
                <c:pt idx="131">
                  <c:v>-9.8296666070121965</c:v>
                </c:pt>
                <c:pt idx="132">
                  <c:v>-9.7978378267339004</c:v>
                </c:pt>
                <c:pt idx="133">
                  <c:v>-9.7662406186043764</c:v>
                </c:pt>
                <c:pt idx="134">
                  <c:v>-9.7348716373145923</c:v>
                </c:pt>
                <c:pt idx="135">
                  <c:v>-9.7037276095258704</c:v>
                </c:pt>
                <c:pt idx="136">
                  <c:v>-9.6728053318201077</c:v>
                </c:pt>
                <c:pt idx="137">
                  <c:v>-9.6421016687224306</c:v>
                </c:pt>
                <c:pt idx="138">
                  <c:v>-9.6116135507932974</c:v>
                </c:pt>
                <c:pt idx="139">
                  <c:v>-9.5813379727870736</c:v>
                </c:pt>
                <c:pt idx="140">
                  <c:v>-9.5512719918743603</c:v>
                </c:pt>
                <c:pt idx="141">
                  <c:v>-9.5214127259254333</c:v>
                </c:pt>
                <c:pt idx="142">
                  <c:v>-9.4917573518522875</c:v>
                </c:pt>
                <c:pt idx="143">
                  <c:v>-9.4623031040069101</c:v>
                </c:pt>
                <c:pt idx="144">
                  <c:v>-9.4330472726334964</c:v>
                </c:pt>
                <c:pt idx="145">
                  <c:v>-9.4039872023724609</c:v>
                </c:pt>
                <c:pt idx="146">
                  <c:v>-9.3751202908141593</c:v>
                </c:pt>
                <c:pt idx="147">
                  <c:v>-9.3464439871003488</c:v>
                </c:pt>
                <c:pt idx="148">
                  <c:v>-9.317955790571558</c:v>
                </c:pt>
                <c:pt idx="149">
                  <c:v>-9.2896532494584836</c:v>
                </c:pt>
                <c:pt idx="150">
                  <c:v>-9.2615339596157806</c:v>
                </c:pt>
                <c:pt idx="151">
                  <c:v>-9.233595563296582</c:v>
                </c:pt>
                <c:pt idx="152">
                  <c:v>-9.2058357479661694</c:v>
                </c:pt>
                <c:pt idx="153">
                  <c:v>-9.1782522451533382</c:v>
                </c:pt>
                <c:pt idx="154">
                  <c:v>-9.1508428293379787</c:v>
                </c:pt>
                <c:pt idx="155">
                  <c:v>-9.1236053168735882</c:v>
                </c:pt>
                <c:pt idx="156">
                  <c:v>-9.0965375649433184</c:v>
                </c:pt>
                <c:pt idx="157">
                  <c:v>-9.0696374705483702</c:v>
                </c:pt>
                <c:pt idx="158">
                  <c:v>-9.0429029695275283</c:v>
                </c:pt>
                <c:pt idx="159">
                  <c:v>-9.0163320356066912</c:v>
                </c:pt>
                <c:pt idx="160">
                  <c:v>-8.989922679477294</c:v>
                </c:pt>
                <c:pt idx="161">
                  <c:v>-8.9636729479025909</c:v>
                </c:pt>
                <c:pt idx="162">
                  <c:v>-8.9375809228507599</c:v>
                </c:pt>
                <c:pt idx="163">
                  <c:v>-8.9116447206539462</c:v>
                </c:pt>
                <c:pt idx="164">
                  <c:v>-8.8858624911921922</c:v>
                </c:pt>
                <c:pt idx="165">
                  <c:v>-8.8602324171015354</c:v>
                </c:pt>
                <c:pt idx="166">
                  <c:v>-8.8347527130052654</c:v>
                </c:pt>
                <c:pt idx="167">
                  <c:v>-8.8094216247676265</c:v>
                </c:pt>
                <c:pt idx="168">
                  <c:v>-8.7842374287691758</c:v>
                </c:pt>
                <c:pt idx="169">
                  <c:v>-8.7591984312030018</c:v>
                </c:pt>
                <c:pt idx="170">
                  <c:v>-8.7343029673911321</c:v>
                </c:pt>
                <c:pt idx="171">
                  <c:v>-8.7095494011204213</c:v>
                </c:pt>
                <c:pt idx="172">
                  <c:v>-8.6849361239972538</c:v>
                </c:pt>
                <c:pt idx="173">
                  <c:v>-8.6604615548204311</c:v>
                </c:pt>
                <c:pt idx="174">
                  <c:v>-8.6361241389716294</c:v>
                </c:pt>
                <c:pt idx="175">
                  <c:v>-8.6119223478228584</c:v>
                </c:pt>
                <c:pt idx="176">
                  <c:v>-8.5878546781602907</c:v>
                </c:pt>
                <c:pt idx="177">
                  <c:v>-8.5639196516240439</c:v>
                </c:pt>
                <c:pt idx="178">
                  <c:v>-8.540115814163233</c:v>
                </c:pt>
                <c:pt idx="179">
                  <c:v>-8.5164417355059516</c:v>
                </c:pt>
                <c:pt idx="180">
                  <c:v>-8.4928960086435588</c:v>
                </c:pt>
                <c:pt idx="181">
                  <c:v>-8.4694772493289125</c:v>
                </c:pt>
                <c:pt idx="182">
                  <c:v>-8.4461840955880376</c:v>
                </c:pt>
                <c:pt idx="183">
                  <c:v>-8.4230152072448377</c:v>
                </c:pt>
                <c:pt idx="184">
                  <c:v>-8.39996926545839</c:v>
                </c:pt>
                <c:pt idx="185">
                  <c:v>-8.3770449722724791</c:v>
                </c:pt>
                <c:pt idx="186">
                  <c:v>-8.3542410501769488</c:v>
                </c:pt>
                <c:pt idx="187">
                  <c:v>-8.3315562416805093</c:v>
                </c:pt>
                <c:pt idx="188">
                  <c:v>-8.3089893088946347</c:v>
                </c:pt>
                <c:pt idx="189">
                  <c:v>-8.2865390331282267</c:v>
                </c:pt>
                <c:pt idx="190">
                  <c:v>-8.264204214492711</c:v>
                </c:pt>
                <c:pt idx="191">
                  <c:v>-8.2419836715172057</c:v>
                </c:pt>
                <c:pt idx="192">
                  <c:v>-8.2198762407735106</c:v>
                </c:pt>
                <c:pt idx="193">
                  <c:v>-8.1978807765105888</c:v>
                </c:pt>
                <c:pt idx="194">
                  <c:v>-8.1759961502982428</c:v>
                </c:pt>
                <c:pt idx="195">
                  <c:v>-8.1542212506797522</c:v>
                </c:pt>
                <c:pt idx="196">
                  <c:v>-8.1325549828331418</c:v>
                </c:pt>
                <c:pt idx="197">
                  <c:v>-8.110996268240882</c:v>
                </c:pt>
                <c:pt idx="198">
                  <c:v>-8.0895440443677451</c:v>
                </c:pt>
                <c:pt idx="199">
                  <c:v>-8.0681972643465478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9-5169-4604-BD43-F47A4CB4DF59}"/>
            </c:ext>
          </c:extLst>
        </c:ser>
        <c:ser>
          <c:idx val="7"/>
          <c:order val="8"/>
          <c:tx>
            <c:strRef>
              <c:f>Calculate!$I$1</c:f>
              <c:strCache>
                <c:ptCount val="1"/>
                <c:pt idx="0">
                  <c:v>Echo_transfer_ds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Calculate!$I$2:$I$201</c:f>
              <c:numCache>
                <c:formatCode>0.00</c:formatCode>
                <c:ptCount val="200"/>
                <c:pt idx="0">
                  <c:v>-24.219341161639086</c:v>
                </c:pt>
                <c:pt idx="1">
                  <c:v>-23.419886033428877</c:v>
                </c:pt>
                <c:pt idx="2">
                  <c:v>-22.744967311406846</c:v>
                </c:pt>
                <c:pt idx="3">
                  <c:v>-22.160964207272652</c:v>
                </c:pt>
                <c:pt idx="4">
                  <c:v>-21.646265475299913</c:v>
                </c:pt>
                <c:pt idx="5">
                  <c:v>-21.186153432294272</c:v>
                </c:pt>
                <c:pt idx="6">
                  <c:v>-20.770151842911172</c:v>
                </c:pt>
                <c:pt idx="7">
                  <c:v>-20.390538042661689</c:v>
                </c:pt>
                <c:pt idx="8">
                  <c:v>-20.04145520125434</c:v>
                </c:pt>
                <c:pt idx="9">
                  <c:v>-19.718355805755305</c:v>
                </c:pt>
                <c:pt idx="10">
                  <c:v>-19.417638310572329</c:v>
                </c:pt>
                <c:pt idx="11">
                  <c:v>-19.13640169325252</c:v>
                </c:pt>
                <c:pt idx="12">
                  <c:v>-18.872274788946303</c:v>
                </c:pt>
                <c:pt idx="13">
                  <c:v>-18.62329462763245</c:v>
                </c:pt>
                <c:pt idx="14">
                  <c:v>-18.387817803089842</c:v>
                </c:pt>
                <c:pt idx="15">
                  <c:v>-18.164454663811387</c:v>
                </c:pt>
                <c:pt idx="16">
                  <c:v>-17.952019618091455</c:v>
                </c:pt>
                <c:pt idx="17">
                  <c:v>-17.749493038619516</c:v>
                </c:pt>
                <c:pt idx="18">
                  <c:v>-17.555991661986305</c:v>
                </c:pt>
                <c:pt idx="19">
                  <c:v>-17.370745306681684</c:v>
                </c:pt>
                <c:pt idx="20">
                  <c:v>-17.193078357148828</c:v>
                </c:pt>
                <c:pt idx="21">
                  <c:v>-17.022394889008666</c:v>
                </c:pt>
                <c:pt idx="22">
                  <c:v>-16.858166608626227</c:v>
                </c:pt>
                <c:pt idx="23">
                  <c:v>-16.699922991272413</c:v>
                </c:pt>
                <c:pt idx="24">
                  <c:v>-16.547243153792227</c:v>
                </c:pt>
                <c:pt idx="25">
                  <c:v>-16.399749108106025</c:v>
                </c:pt>
                <c:pt idx="26">
                  <c:v>-16.257100123246889</c:v>
                </c:pt>
                <c:pt idx="27">
                  <c:v>-16.118987984294836</c:v>
                </c:pt>
                <c:pt idx="28">
                  <c:v>-15.985132982258305</c:v>
                </c:pt>
                <c:pt idx="29">
                  <c:v>-15.855280503706977</c:v>
                </c:pt>
                <c:pt idx="30">
                  <c:v>-15.729198115636407</c:v>
                </c:pt>
                <c:pt idx="31">
                  <c:v>-15.606673061697375</c:v>
                </c:pt>
                <c:pt idx="32">
                  <c:v>-15.487510102038627</c:v>
                </c:pt>
                <c:pt idx="33">
                  <c:v>-15.371529641683264</c:v>
                </c:pt>
                <c:pt idx="34">
                  <c:v>-15.258566102391946</c:v>
                </c:pt>
                <c:pt idx="35">
                  <c:v>-15.148466500963478</c:v>
                </c:pt>
                <c:pt idx="36">
                  <c:v>-15.041089203338124</c:v>
                </c:pt>
                <c:pt idx="37">
                  <c:v>-14.936302829044958</c:v>
                </c:pt>
                <c:pt idx="38">
                  <c:v>-14.833985284734661</c:v>
                </c:pt>
                <c:pt idx="39">
                  <c:v>-14.734022908965478</c:v>
                </c:pt>
                <c:pt idx="40">
                  <c:v>-14.636309713219589</c:v>
                </c:pt>
                <c:pt idx="41">
                  <c:v>-14.540746706441572</c:v>
                </c:pt>
                <c:pt idx="42">
                  <c:v>-14.447241292306822</c:v>
                </c:pt>
                <c:pt idx="43">
                  <c:v>-14.355706730020168</c:v>
                </c:pt>
                <c:pt idx="44">
                  <c:v>-14.266061650774793</c:v>
                </c:pt>
                <c:pt idx="45">
                  <c:v>-14.178229623115913</c:v>
                </c:pt>
                <c:pt idx="46">
                  <c:v>-14.092138761391208</c:v>
                </c:pt>
                <c:pt idx="47">
                  <c:v>-14.007721372262038</c:v>
                </c:pt>
                <c:pt idx="48">
                  <c:v>-13.92491363492022</c:v>
                </c:pt>
                <c:pt idx="49">
                  <c:v>-13.843655311225845</c:v>
                </c:pt>
                <c:pt idx="50">
                  <c:v>-13.763889482468185</c:v>
                </c:pt>
                <c:pt idx="51">
                  <c:v>-13.685562309868279</c:v>
                </c:pt>
                <c:pt idx="52">
                  <c:v>-13.608622816299063</c:v>
                </c:pt>
                <c:pt idx="53">
                  <c:v>-13.533022687006655</c:v>
                </c:pt>
                <c:pt idx="54">
                  <c:v>-13.458716087381875</c:v>
                </c:pt>
                <c:pt idx="55">
                  <c:v>-13.385659496060802</c:v>
                </c:pt>
                <c:pt idx="56">
                  <c:v>-13.313811551832561</c:v>
                </c:pt>
                <c:pt idx="57">
                  <c:v>-13.243132913005988</c:v>
                </c:pt>
                <c:pt idx="58">
                  <c:v>-13.173586128037847</c:v>
                </c:pt>
                <c:pt idx="59">
                  <c:v>-13.105135516357523</c:v>
                </c:pt>
                <c:pt idx="60">
                  <c:v>-13.03774705843878</c:v>
                </c:pt>
                <c:pt idx="61">
                  <c:v>-12.97138829427071</c:v>
                </c:pt>
                <c:pt idx="62">
                  <c:v>-12.906028229469321</c:v>
                </c:pt>
                <c:pt idx="63">
                  <c:v>-12.841637248350064</c:v>
                </c:pt>
                <c:pt idx="64">
                  <c:v>-12.778187033350925</c:v>
                </c:pt>
                <c:pt idx="65">
                  <c:v>-12.715650490257456</c:v>
                </c:pt>
                <c:pt idx="66">
                  <c:v>-12.654001678735424</c:v>
                </c:pt>
                <c:pt idx="67">
                  <c:v>-12.593215747725452</c:v>
                </c:pt>
                <c:pt idx="68">
                  <c:v>-12.533268875296768</c:v>
                </c:pt>
                <c:pt idx="69">
                  <c:v>-12.474138212595909</c:v>
                </c:pt>
                <c:pt idx="70">
                  <c:v>-12.415801831560207</c:v>
                </c:pt>
                <c:pt idx="71">
                  <c:v>-12.358238676096693</c:v>
                </c:pt>
                <c:pt idx="72">
                  <c:v>-12.301428516454404</c:v>
                </c:pt>
                <c:pt idx="73">
                  <c:v>-12.245351906542608</c:v>
                </c:pt>
                <c:pt idx="74">
                  <c:v>-12.189990143969695</c:v>
                </c:pt>
                <c:pt idx="75">
                  <c:v>-12.135325232597179</c:v>
                </c:pt>
                <c:pt idx="76">
                  <c:v>-12.081339847421255</c:v>
                </c:pt>
                <c:pt idx="77">
                  <c:v>-12.028017301610411</c:v>
                </c:pt>
                <c:pt idx="78">
                  <c:v>-11.975341515542159</c:v>
                </c:pt>
                <c:pt idx="79">
                  <c:v>-11.923296987695164</c:v>
                </c:pt>
                <c:pt idx="80">
                  <c:v>-11.871868767264942</c:v>
                </c:pt>
                <c:pt idx="81">
                  <c:v>-11.821042428382047</c:v>
                </c:pt>
                <c:pt idx="82">
                  <c:v>-11.770804045821544</c:v>
                </c:pt>
                <c:pt idx="83">
                  <c:v>-11.721140172101443</c:v>
                </c:pt>
                <c:pt idx="84">
                  <c:v>-11.672037815875873</c:v>
                </c:pt>
                <c:pt idx="85">
                  <c:v>-11.623484421536077</c:v>
                </c:pt>
                <c:pt idx="86">
                  <c:v>-11.575467849939194</c:v>
                </c:pt>
                <c:pt idx="87">
                  <c:v>-11.527976360190767</c:v>
                </c:pt>
                <c:pt idx="88">
                  <c:v>-11.480998592412558</c:v>
                </c:pt>
                <c:pt idx="89">
                  <c:v>-11.434523551432523</c:v>
                </c:pt>
                <c:pt idx="90">
                  <c:v>-11.388540591338188</c:v>
                </c:pt>
                <c:pt idx="91">
                  <c:v>-11.343039400839295</c:v>
                </c:pt>
                <c:pt idx="92">
                  <c:v>-11.2980099893893</c:v>
                </c:pt>
                <c:pt idx="93">
                  <c:v>-11.253442674018988</c:v>
                </c:pt>
                <c:pt idx="94">
                  <c:v>-11.209328066838873</c:v>
                </c:pt>
                <c:pt idx="95">
                  <c:v>-11.16565706316991</c:v>
                </c:pt>
                <c:pt idx="96">
                  <c:v>-11.122420830265119</c:v>
                </c:pt>
                <c:pt idx="97">
                  <c:v>-11.079610796587085</c:v>
                </c:pt>
                <c:pt idx="98">
                  <c:v>-11.037218641608789</c:v>
                </c:pt>
                <c:pt idx="99">
                  <c:v>-10.995236286107433</c:v>
                </c:pt>
                <c:pt idx="100">
                  <c:v>-10.953655882922941</c:v>
                </c:pt>
                <c:pt idx="101">
                  <c:v>-10.912469808154663</c:v>
                </c:pt>
                <c:pt idx="102">
                  <c:v>-10.871670652771622</c:v>
                </c:pt>
                <c:pt idx="103">
                  <c:v>-10.831251214613168</c:v>
                </c:pt>
                <c:pt idx="104">
                  <c:v>-10.791204490758473</c:v>
                </c:pt>
                <c:pt idx="105">
                  <c:v>-10.75152367024463</c:v>
                </c:pt>
                <c:pt idx="106">
                  <c:v>-10.71220212711442</c:v>
                </c:pt>
                <c:pt idx="107">
                  <c:v>-10.673233413775996</c:v>
                </c:pt>
                <c:pt idx="108">
                  <c:v>-10.634611254657829</c:v>
                </c:pt>
                <c:pt idx="109">
                  <c:v>-10.596329540143348</c:v>
                </c:pt>
                <c:pt idx="110">
                  <c:v>-10.558382320770532</c:v>
                </c:pt>
                <c:pt idx="111">
                  <c:v>-10.520763801682737</c:v>
                </c:pt>
                <c:pt idx="112">
                  <c:v>-10.483468337317836</c:v>
                </c:pt>
                <c:pt idx="113">
                  <c:v>-10.446490426323402</c:v>
                </c:pt>
                <c:pt idx="114">
                  <c:v>-10.409824706686596</c:v>
                </c:pt>
                <c:pt idx="115">
                  <c:v>-10.373465951067891</c:v>
                </c:pt>
                <c:pt idx="116">
                  <c:v>-10.337409062328508</c:v>
                </c:pt>
                <c:pt idx="117">
                  <c:v>-10.301649069242025</c:v>
                </c:pt>
                <c:pt idx="118">
                  <c:v>-10.266181122381074</c:v>
                </c:pt>
                <c:pt idx="119">
                  <c:v>-10.23100049017062</c:v>
                </c:pt>
                <c:pt idx="120">
                  <c:v>-10.196102555099911</c:v>
                </c:pt>
                <c:pt idx="121">
                  <c:v>-10.161482810085282</c:v>
                </c:pt>
                <c:pt idx="122">
                  <c:v>-10.1271368549769</c:v>
                </c:pt>
                <c:pt idx="123">
                  <c:v>-10.093060393202485</c:v>
                </c:pt>
                <c:pt idx="124">
                  <c:v>-10.059249228541729</c:v>
                </c:pt>
                <c:pt idx="125">
                  <c:v>-10.02569926202529</c:v>
                </c:pt>
                <c:pt idx="126">
                  <c:v>-9.9924064889526285</c:v>
                </c:pt>
                <c:pt idx="127">
                  <c:v>-9.9593669960233306</c:v>
                </c:pt>
                <c:pt idx="128">
                  <c:v>-9.9265769585766925</c:v>
                </c:pt>
                <c:pt idx="129">
                  <c:v>-9.8940326379347496</c:v>
                </c:pt>
                <c:pt idx="130">
                  <c:v>-9.8617303788441006</c:v>
                </c:pt>
                <c:pt idx="131">
                  <c:v>-9.8296666070121965</c:v>
                </c:pt>
                <c:pt idx="132">
                  <c:v>-9.7978378267339004</c:v>
                </c:pt>
                <c:pt idx="133">
                  <c:v>-9.7662406186043764</c:v>
                </c:pt>
                <c:pt idx="134">
                  <c:v>-9.7348716373145923</c:v>
                </c:pt>
                <c:pt idx="135">
                  <c:v>-9.7037276095258704</c:v>
                </c:pt>
                <c:pt idx="136">
                  <c:v>-9.6728053318201077</c:v>
                </c:pt>
                <c:pt idx="137">
                  <c:v>-9.6421016687224306</c:v>
                </c:pt>
                <c:pt idx="138">
                  <c:v>-9.6116135507932974</c:v>
                </c:pt>
                <c:pt idx="139">
                  <c:v>-9.5813379727870736</c:v>
                </c:pt>
                <c:pt idx="140">
                  <c:v>-9.5512719918743603</c:v>
                </c:pt>
                <c:pt idx="141">
                  <c:v>-9.5214127259254333</c:v>
                </c:pt>
                <c:pt idx="142">
                  <c:v>-9.4917573518522875</c:v>
                </c:pt>
                <c:pt idx="143">
                  <c:v>-9.4623031040069101</c:v>
                </c:pt>
                <c:pt idx="144">
                  <c:v>-9.4330472726334964</c:v>
                </c:pt>
                <c:pt idx="145">
                  <c:v>-9.4039872023724609</c:v>
                </c:pt>
                <c:pt idx="146">
                  <c:v>-9.3751202908141593</c:v>
                </c:pt>
                <c:pt idx="147">
                  <c:v>-9.3464439871003488</c:v>
                </c:pt>
                <c:pt idx="148">
                  <c:v>-9.317955790571558</c:v>
                </c:pt>
                <c:pt idx="149">
                  <c:v>-9.2896532494584836</c:v>
                </c:pt>
                <c:pt idx="150">
                  <c:v>-9.2615339596157806</c:v>
                </c:pt>
                <c:pt idx="151">
                  <c:v>-9.233595563296582</c:v>
                </c:pt>
                <c:pt idx="152">
                  <c:v>-9.2058357479661694</c:v>
                </c:pt>
                <c:pt idx="153">
                  <c:v>-9.1782522451533382</c:v>
                </c:pt>
                <c:pt idx="154">
                  <c:v>-9.1508428293379787</c:v>
                </c:pt>
                <c:pt idx="155">
                  <c:v>-9.1236053168735882</c:v>
                </c:pt>
                <c:pt idx="156">
                  <c:v>-9.0965375649433184</c:v>
                </c:pt>
                <c:pt idx="157">
                  <c:v>-9.0696374705483702</c:v>
                </c:pt>
                <c:pt idx="158">
                  <c:v>-9.0429029695275283</c:v>
                </c:pt>
                <c:pt idx="159">
                  <c:v>-9.0163320356066912</c:v>
                </c:pt>
                <c:pt idx="160">
                  <c:v>-8.989922679477294</c:v>
                </c:pt>
                <c:pt idx="161">
                  <c:v>-8.9636729479025909</c:v>
                </c:pt>
                <c:pt idx="162">
                  <c:v>-8.9375809228507599</c:v>
                </c:pt>
                <c:pt idx="163">
                  <c:v>-8.9116447206539462</c:v>
                </c:pt>
                <c:pt idx="164">
                  <c:v>-8.8858624911921922</c:v>
                </c:pt>
                <c:pt idx="165">
                  <c:v>-8.8602324171015354</c:v>
                </c:pt>
                <c:pt idx="166">
                  <c:v>-8.8347527130052654</c:v>
                </c:pt>
                <c:pt idx="167">
                  <c:v>-8.8094216247676265</c:v>
                </c:pt>
                <c:pt idx="168">
                  <c:v>-8.7842374287691758</c:v>
                </c:pt>
                <c:pt idx="169">
                  <c:v>-8.7591984312030018</c:v>
                </c:pt>
                <c:pt idx="170">
                  <c:v>-8.7343029673911321</c:v>
                </c:pt>
                <c:pt idx="171">
                  <c:v>-8.7095494011204213</c:v>
                </c:pt>
                <c:pt idx="172">
                  <c:v>-8.6849361239972538</c:v>
                </c:pt>
                <c:pt idx="173">
                  <c:v>-8.6604615548204311</c:v>
                </c:pt>
                <c:pt idx="174">
                  <c:v>-8.6361241389716294</c:v>
                </c:pt>
                <c:pt idx="175">
                  <c:v>-8.6119223478228584</c:v>
                </c:pt>
                <c:pt idx="176">
                  <c:v>-8.5878546781602907</c:v>
                </c:pt>
                <c:pt idx="177">
                  <c:v>-8.5639196516240439</c:v>
                </c:pt>
                <c:pt idx="178">
                  <c:v>-8.540115814163233</c:v>
                </c:pt>
                <c:pt idx="179">
                  <c:v>-8.5164417355059516</c:v>
                </c:pt>
                <c:pt idx="180">
                  <c:v>-8.4928960086435588</c:v>
                </c:pt>
                <c:pt idx="181">
                  <c:v>-8.4694772493289125</c:v>
                </c:pt>
                <c:pt idx="182">
                  <c:v>-8.4461840955880376</c:v>
                </c:pt>
                <c:pt idx="183">
                  <c:v>-8.4230152072448377</c:v>
                </c:pt>
                <c:pt idx="184">
                  <c:v>-8.39996926545839</c:v>
                </c:pt>
                <c:pt idx="185">
                  <c:v>-8.3770449722724791</c:v>
                </c:pt>
                <c:pt idx="186">
                  <c:v>-8.3542410501769488</c:v>
                </c:pt>
                <c:pt idx="187">
                  <c:v>-8.3315562416805093</c:v>
                </c:pt>
                <c:pt idx="188">
                  <c:v>-8.3089893088946347</c:v>
                </c:pt>
                <c:pt idx="189">
                  <c:v>-8.2865390331282267</c:v>
                </c:pt>
                <c:pt idx="190">
                  <c:v>-8.264204214492711</c:v>
                </c:pt>
                <c:pt idx="191">
                  <c:v>-8.2419836715172057</c:v>
                </c:pt>
                <c:pt idx="192">
                  <c:v>-8.2198762407735106</c:v>
                </c:pt>
                <c:pt idx="193">
                  <c:v>-8.1978807765105888</c:v>
                </c:pt>
                <c:pt idx="194">
                  <c:v>-8.1759961502982428</c:v>
                </c:pt>
                <c:pt idx="195">
                  <c:v>-8.1542212506797522</c:v>
                </c:pt>
                <c:pt idx="196">
                  <c:v>-8.1325549828331418</c:v>
                </c:pt>
                <c:pt idx="197">
                  <c:v>-8.110996268240882</c:v>
                </c:pt>
                <c:pt idx="198">
                  <c:v>-8.0895440443677451</c:v>
                </c:pt>
                <c:pt idx="199">
                  <c:v>-8.0681972643465478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A-5169-4604-BD43-F47A4CB4DF59}"/>
            </c:ext>
          </c:extLst>
        </c:ser>
        <c:ser>
          <c:idx val="22"/>
          <c:order val="22"/>
          <c:tx>
            <c:v>PSD Mask</c:v>
          </c:tx>
          <c:spPr>
            <a:ln w="50800" cap="rnd" cmpd="dbl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Calculate!$A$2:$A$202</c:f>
              <c:numCache>
                <c:formatCode>#,##0</c:formatCode>
                <c:ptCount val="201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Calculate!$X$2:$X$202</c:f>
              <c:numCache>
                <c:formatCode>0.00</c:formatCode>
                <c:ptCount val="201"/>
                <c:pt idx="0">
                  <c:v>-2.5327872620251815</c:v>
                </c:pt>
                <c:pt idx="1">
                  <c:v>-3.4827119124779835</c:v>
                </c:pt>
                <c:pt idx="2">
                  <c:v>-4.2014180911435384</c:v>
                </c:pt>
                <c:pt idx="3">
                  <c:v>-4.8031697766367003</c:v>
                </c:pt>
                <c:pt idx="4">
                  <c:v>-5.3313142218878742</c:v>
                </c:pt>
                <c:pt idx="5">
                  <c:v>-5.807773900228808</c:v>
                </c:pt>
                <c:pt idx="6">
                  <c:v>-6.2454330448947344</c:v>
                </c:pt>
                <c:pt idx="7">
                  <c:v>-6.6526134779391164</c:v>
                </c:pt>
                <c:pt idx="8">
                  <c:v>-7.0350530095023451</c:v>
                </c:pt>
                <c:pt idx="9">
                  <c:v>-7.3969026022902815</c:v>
                </c:pt>
                <c:pt idx="10">
                  <c:v>-7.7412781852051582</c:v>
                </c:pt>
                <c:pt idx="11">
                  <c:v>-8.0705882543810876</c:v>
                </c:pt>
                <c:pt idx="12">
                  <c:v>-8.3867393572995574</c:v>
                </c:pt>
                <c:pt idx="13">
                  <c:v>-8.6912708154882825</c:v>
                </c:pt>
                <c:pt idx="14">
                  <c:v>-8.985446334077043</c:v>
                </c:pt>
                <c:pt idx="15">
                  <c:v>-9.2703182295464384</c:v>
                </c:pt>
                <c:pt idx="16">
                  <c:v>-9.5467736476443381</c:v>
                </c:pt>
                <c:pt idx="17">
                  <c:v>-9.8155685761929412</c:v>
                </c:pt>
                <c:pt idx="18">
                  <c:v>-10.077353369933649</c:v>
                </c:pt>
                <c:pt idx="19">
                  <c:v>-10.33269223758829</c:v>
                </c:pt>
                <c:pt idx="20">
                  <c:v>-10.582078347632242</c:v>
                </c:pt>
                <c:pt idx="21">
                  <c:v>-10.825945698050115</c:v>
                </c:pt>
                <c:pt idx="22">
                  <c:v>-11.064678557839294</c:v>
                </c:pt>
                <c:pt idx="23">
                  <c:v>-11.298619060255852</c:v>
                </c:pt>
                <c:pt idx="24">
                  <c:v>-11.528073371017001</c:v>
                </c:pt>
                <c:pt idx="25">
                  <c:v>-11.753316744816626</c:v>
                </c:pt>
                <c:pt idx="26">
                  <c:v>-11.974597705275832</c:v>
                </c:pt>
                <c:pt idx="27">
                  <c:v>-12.192141526907381</c:v>
                </c:pt>
                <c:pt idx="28">
                  <c:v>-12.406153156250484</c:v>
                </c:pt>
                <c:pt idx="29">
                  <c:v>-12.616819678608074</c:v>
                </c:pt>
                <c:pt idx="30">
                  <c:v>-12.824312413766158</c:v>
                </c:pt>
                <c:pt idx="31">
                  <c:v>-13.028788706594037</c:v>
                </c:pt>
                <c:pt idx="32">
                  <c:v>-13.23039346503745</c:v>
                </c:pt>
                <c:pt idx="33">
                  <c:v>-13.429260487670479</c:v>
                </c:pt>
                <c:pt idx="34">
                  <c:v>-13.625513614907099</c:v>
                </c:pt>
                <c:pt idx="35">
                  <c:v>-13.819267731636135</c:v>
                </c:pt>
                <c:pt idx="36">
                  <c:v>-14.010629644026418</c:v>
                </c:pt>
                <c:pt idx="37">
                  <c:v>-14.199698849248932</c:v>
                </c:pt>
                <c:pt idx="38">
                  <c:v>-14.386568213652412</c:v>
                </c:pt>
                <c:pt idx="39">
                  <c:v>-14.571324572336094</c:v>
                </c:pt>
                <c:pt idx="40">
                  <c:v>-14.754049260956997</c:v>
                </c:pt>
                <c:pt idx="41">
                  <c:v>-14.934818588888355</c:v>
                </c:pt>
                <c:pt idx="42">
                  <c:v>-15.113704261432359</c:v>
                </c:pt>
                <c:pt idx="43">
                  <c:v>-15.290773757624041</c:v>
                </c:pt>
                <c:pt idx="44">
                  <c:v>-15.466090669195415</c:v>
                </c:pt>
                <c:pt idx="45">
                  <c:v>-15.639715005463005</c:v>
                </c:pt>
                <c:pt idx="46">
                  <c:v>-15.811703468227313</c:v>
                </c:pt>
                <c:pt idx="47">
                  <c:v>-15.982109700206207</c:v>
                </c:pt>
                <c:pt idx="48">
                  <c:v>-16.150984510045898</c:v>
                </c:pt>
                <c:pt idx="49">
                  <c:v>-16.318376076548617</c:v>
                </c:pt>
                <c:pt idx="50">
                  <c:v>-16.484330134412158</c:v>
                </c:pt>
                <c:pt idx="51">
                  <c:v>-16.648890143482916</c:v>
                </c:pt>
                <c:pt idx="52">
                  <c:v>-16.812097443273519</c:v>
                </c:pt>
                <c:pt idx="53">
                  <c:v>-16.973991394280326</c:v>
                </c:pt>
                <c:pt idx="54">
                  <c:v>-17.134609507451291</c:v>
                </c:pt>
                <c:pt idx="55">
                  <c:v>-17.293987562994062</c:v>
                </c:pt>
                <c:pt idx="56">
                  <c:v>-17.452159719575963</c:v>
                </c:pt>
                <c:pt idx="57">
                  <c:v>-17.609158614847171</c:v>
                </c:pt>
                <c:pt idx="58">
                  <c:v>-17.765015458113655</c:v>
                </c:pt>
                <c:pt idx="59">
                  <c:v>-17.919760115894938</c:v>
                </c:pt>
                <c:pt idx="60">
                  <c:v>-18.073421191022202</c:v>
                </c:pt>
                <c:pt idx="61">
                  <c:v>-18.226026095861801</c:v>
                </c:pt>
                <c:pt idx="62">
                  <c:v>-18.377601120187851</c:v>
                </c:pt>
                <c:pt idx="63">
                  <c:v>-18.528171494173424</c:v>
                </c:pt>
                <c:pt idx="64">
                  <c:v>-18.677761446921799</c:v>
                </c:pt>
                <c:pt idx="65">
                  <c:v>-18.826394260917212</c:v>
                </c:pt>
                <c:pt idx="66">
                  <c:v>-18.974092322736688</c:v>
                </c:pt>
                <c:pt idx="67">
                  <c:v>-19.120877170331664</c:v>
                </c:pt>
                <c:pt idx="68">
                  <c:v>-19.266769537158076</c:v>
                </c:pt>
                <c:pt idx="69">
                  <c:v>-19.411789393407666</c:v>
                </c:pt>
                <c:pt idx="70">
                  <c:v>-19.555955984569291</c:v>
                </c:pt>
                <c:pt idx="71">
                  <c:v>-19.699287867528263</c:v>
                </c:pt>
                <c:pt idx="72">
                  <c:v>-19.841802944392789</c:v>
                </c:pt>
                <c:pt idx="73">
                  <c:v>-19.983518494219737</c:v>
                </c:pt>
                <c:pt idx="74">
                  <c:v>-20.124451202796596</c:v>
                </c:pt>
                <c:pt idx="75">
                  <c:v>-20.264617190623092</c:v>
                </c:pt>
                <c:pt idx="76">
                  <c:v>-20.40403203922347</c:v>
                </c:pt>
                <c:pt idx="77">
                  <c:v>-20.542710815909196</c:v>
                </c:pt>
                <c:pt idx="78">
                  <c:v>-20.680668097102213</c:v>
                </c:pt>
                <c:pt idx="79">
                  <c:v>-20.817917990319298</c:v>
                </c:pt>
                <c:pt idx="80">
                  <c:v>-20.954474154910301</c:v>
                </c:pt>
                <c:pt idx="81">
                  <c:v>-21.090349821635208</c:v>
                </c:pt>
                <c:pt idx="82">
                  <c:v>-21.22555781115846</c:v>
                </c:pt>
                <c:pt idx="83">
                  <c:v>-21.360110551532717</c:v>
                </c:pt>
                <c:pt idx="84">
                  <c:v>-21.494020094738477</c:v>
                </c:pt>
                <c:pt idx="85">
                  <c:v>-21.627298132341259</c:v>
                </c:pt>
                <c:pt idx="86">
                  <c:v>-21.759956010322796</c:v>
                </c:pt>
                <c:pt idx="87">
                  <c:v>-21.892004743139157</c:v>
                </c:pt>
                <c:pt idx="88">
                  <c:v>-22.023455027053998</c:v>
                </c:pt>
                <c:pt idx="89">
                  <c:v>-22.15431725279235</c:v>
                </c:pt>
                <c:pt idx="90">
                  <c:v>-22.284601517556528</c:v>
                </c:pt>
                <c:pt idx="91">
                  <c:v>-22.414317636442977</c:v>
                </c:pt>
                <c:pt idx="92">
                  <c:v>-22.543475153296217</c:v>
                </c:pt>
                <c:pt idx="93">
                  <c:v>-22.672083351033169</c:v>
                </c:pt>
                <c:pt idx="94">
                  <c:v>-22.800151261469225</c:v>
                </c:pt>
                <c:pt idx="95">
                  <c:v>-22.927687674675006</c:v>
                </c:pt>
                <c:pt idx="96">
                  <c:v>-23.054701147890917</c:v>
                </c:pt>
                <c:pt idx="97">
                  <c:v>-23.181200014024608</c:v>
                </c:pt>
                <c:pt idx="98">
                  <c:v>-23.307192389755087</c:v>
                </c:pt>
                <c:pt idx="99">
                  <c:v>-23.43268618326535</c:v>
                </c:pt>
                <c:pt idx="100">
                  <c:v>-23.557689101624021</c:v>
                </c:pt>
                <c:pt idx="101">
                  <c:v>-23.682208657835531</c:v>
                </c:pt>
                <c:pt idx="102">
                  <c:v>-23.806252177576393</c:v>
                </c:pt>
                <c:pt idx="103">
                  <c:v>-23.929826805634903</c:v>
                </c:pt>
                <c:pt idx="104">
                  <c:v>-24.052939512069642</c:v>
                </c:pt>
                <c:pt idx="105">
                  <c:v>-24.175597098101878</c:v>
                </c:pt>
                <c:pt idx="106">
                  <c:v>-24.297806201755762</c:v>
                </c:pt>
                <c:pt idx="107">
                  <c:v>-24.419573303259053</c:v>
                </c:pt>
                <c:pt idx="108">
                  <c:v>-24.540904730217107</c:v>
                </c:pt>
                <c:pt idx="109">
                  <c:v>-24.661806662571365</c:v>
                </c:pt>
                <c:pt idx="110">
                  <c:v>-24.782285137353071</c:v>
                </c:pt>
                <c:pt idx="111">
                  <c:v>-24.902346053242866</c:v>
                </c:pt>
                <c:pt idx="112">
                  <c:v>-25.021995174945388</c:v>
                </c:pt>
                <c:pt idx="113">
                  <c:v>-25.141238137388246</c:v>
                </c:pt>
                <c:pt idx="114">
                  <c:v>-25.260080449753744</c:v>
                </c:pt>
                <c:pt idx="115">
                  <c:v>-25.378527499351527</c:v>
                </c:pt>
                <c:pt idx="116">
                  <c:v>-25.496584555339606</c:v>
                </c:pt>
                <c:pt idx="117">
                  <c:v>-25.614256772301047</c:v>
                </c:pt>
                <c:pt idx="118">
                  <c:v>-25.73154919368303</c:v>
                </c:pt>
                <c:pt idx="119">
                  <c:v>-25.848466755104795</c:v>
                </c:pt>
                <c:pt idx="120">
                  <c:v>-25.965014287540313</c:v>
                </c:pt>
                <c:pt idx="121">
                  <c:v>-26.081196520381649</c:v>
                </c:pt>
                <c:pt idx="122">
                  <c:v>-26.197018084388279</c:v>
                </c:pt>
                <c:pt idx="123">
                  <c:v>-26.312483514527557</c:v>
                </c:pt>
                <c:pt idx="124">
                  <c:v>-26.427597252711198</c:v>
                </c:pt>
                <c:pt idx="125">
                  <c:v>-26.542363650432307</c:v>
                </c:pt>
                <c:pt idx="126">
                  <c:v>-26.656786971307504</c:v>
                </c:pt>
                <c:pt idx="127">
                  <c:v>-26.770871393528012</c:v>
                </c:pt>
                <c:pt idx="128">
                  <c:v>-26.884621012223889</c:v>
                </c:pt>
                <c:pt idx="129">
                  <c:v>-26.998039841745118</c:v>
                </c:pt>
                <c:pt idx="130">
                  <c:v>-27.111131817862827</c:v>
                </c:pt>
                <c:pt idx="131">
                  <c:v>-27.22390079989438</c:v>
                </c:pt>
                <c:pt idx="132">
                  <c:v>-27.336350572755322</c:v>
                </c:pt>
                <c:pt idx="133">
                  <c:v>-27.448484848941227</c:v>
                </c:pt>
                <c:pt idx="134">
                  <c:v>-27.56030727044244</c:v>
                </c:pt>
                <c:pt idx="135">
                  <c:v>-27.671821410594365</c:v>
                </c:pt>
                <c:pt idx="136">
                  <c:v>-27.78303077586601</c:v>
                </c:pt>
                <c:pt idx="137">
                  <c:v>-27.893938807589265</c:v>
                </c:pt>
                <c:pt idx="138">
                  <c:v>-28.004548883631188</c:v>
                </c:pt>
                <c:pt idx="139">
                  <c:v>-28.114864320011783</c:v>
                </c:pt>
                <c:pt idx="140">
                  <c:v>-28.22488837246917</c:v>
                </c:pt>
                <c:pt idx="141">
                  <c:v>-28.33462423797446</c:v>
                </c:pt>
                <c:pt idx="142">
                  <c:v>-28.444075056198095</c:v>
                </c:pt>
                <c:pt idx="143">
                  <c:v>-28.553243910929666</c:v>
                </c:pt>
                <c:pt idx="144">
                  <c:v>-28.662133831452955</c:v>
                </c:pt>
                <c:pt idx="145">
                  <c:v>-28.770747793877895</c:v>
                </c:pt>
                <c:pt idx="146">
                  <c:v>-28.879088722431085</c:v>
                </c:pt>
                <c:pt idx="147">
                  <c:v>-28.987159490706428</c:v>
                </c:pt>
                <c:pt idx="148">
                  <c:v>-29.094962922877478</c:v>
                </c:pt>
                <c:pt idx="149">
                  <c:v>-29.202501794872688</c:v>
                </c:pt>
                <c:pt idx="150">
                  <c:v>-29.309778835515207</c:v>
                </c:pt>
                <c:pt idx="151">
                  <c:v>-29.416796727628281</c:v>
                </c:pt>
                <c:pt idx="152">
                  <c:v>-29.523558109107743</c:v>
                </c:pt>
                <c:pt idx="153">
                  <c:v>-29.630065573962558</c:v>
                </c:pt>
                <c:pt idx="154">
                  <c:v>-29.73632167332471</c:v>
                </c:pt>
                <c:pt idx="155">
                  <c:v>-29.842328916429555</c:v>
                </c:pt>
                <c:pt idx="156">
                  <c:v>-29.948089771567542</c:v>
                </c:pt>
                <c:pt idx="157">
                  <c:v>-30.053606667008445</c:v>
                </c:pt>
                <c:pt idx="158">
                  <c:v>-30.158881991899015</c:v>
                </c:pt>
                <c:pt idx="159">
                  <c:v>-30.263918097135068</c:v>
                </c:pt>
                <c:pt idx="160">
                  <c:v>-30.368717296208576</c:v>
                </c:pt>
                <c:pt idx="161">
                  <c:v>-30.473281866031197</c:v>
                </c:pt>
                <c:pt idx="162">
                  <c:v>-30.577614047734421</c:v>
                </c:pt>
                <c:pt idx="163">
                  <c:v>-30.681716047447605</c:v>
                </c:pt>
                <c:pt idx="164">
                  <c:v>-30.785590037054334</c:v>
                </c:pt>
                <c:pt idx="165">
                  <c:v>-30.889238154928034</c:v>
                </c:pt>
                <c:pt idx="166">
                  <c:v>-30.992662506647495</c:v>
                </c:pt>
                <c:pt idx="167">
                  <c:v>-31.095865165692743</c:v>
                </c:pt>
                <c:pt idx="168">
                  <c:v>-31.198848174122308</c:v>
                </c:pt>
                <c:pt idx="169">
                  <c:v>-31.301613543232243</c:v>
                </c:pt>
                <c:pt idx="170">
                  <c:v>-31.404163254197364</c:v>
                </c:pt>
                <c:pt idx="171">
                  <c:v>-31.506499258695705</c:v>
                </c:pt>
                <c:pt idx="172">
                  <c:v>-31.608623479516254</c:v>
                </c:pt>
                <c:pt idx="173">
                  <c:v>-31.710537811150946</c:v>
                </c:pt>
                <c:pt idx="174">
                  <c:v>-31.812244120370963</c:v>
                </c:pt>
                <c:pt idx="175">
                  <c:v>-31.913744246788333</c:v>
                </c:pt>
                <c:pt idx="176">
                  <c:v>-32.01504000340276</c:v>
                </c:pt>
                <c:pt idx="177">
                  <c:v>-32.116133177134657</c:v>
                </c:pt>
                <c:pt idx="178">
                  <c:v>-32.217025529344404</c:v>
                </c:pt>
                <c:pt idx="179">
                  <c:v>-32.317718796338568</c:v>
                </c:pt>
                <c:pt idx="180">
                  <c:v>-32.418214689863206</c:v>
                </c:pt>
                <c:pt idx="181">
                  <c:v>-32.518514897584907</c:v>
                </c:pt>
                <c:pt idx="182">
                  <c:v>-32.618621083559724</c:v>
                </c:pt>
                <c:pt idx="183">
                  <c:v>-32.71853488869057</c:v>
                </c:pt>
                <c:pt idx="184">
                  <c:v>-32.818257931173207</c:v>
                </c:pt>
                <c:pt idx="185">
                  <c:v>-32.917791806931376</c:v>
                </c:pt>
                <c:pt idx="186">
                  <c:v>-33.017138090041243</c:v>
                </c:pt>
                <c:pt idx="187">
                  <c:v>-33.116298333145537</c:v>
                </c:pt>
                <c:pt idx="188">
                  <c:v>-33.215274067857727</c:v>
                </c:pt>
                <c:pt idx="189">
                  <c:v>-33.314066805156443</c:v>
                </c:pt>
                <c:pt idx="190">
                  <c:v>-33.412678035770455</c:v>
                </c:pt>
                <c:pt idx="191">
                  <c:v>-33.51110923055446</c:v>
                </c:pt>
                <c:pt idx="192">
                  <c:v>-33.609361840856167</c:v>
                </c:pt>
                <c:pt idx="193">
                  <c:v>-33.707437298874432</c:v>
                </c:pt>
                <c:pt idx="194">
                  <c:v>-33.805337018009297</c:v>
                </c:pt>
                <c:pt idx="195">
                  <c:v>-33.903062393203655</c:v>
                </c:pt>
                <c:pt idx="196">
                  <c:v>-34.000614801277216</c:v>
                </c:pt>
                <c:pt idx="197">
                  <c:v>-34.097995601252464</c:v>
                </c:pt>
                <c:pt idx="198">
                  <c:v>-34.195206134673469</c:v>
                </c:pt>
                <c:pt idx="199">
                  <c:v>-34.292247725917143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2C-42CB-8F0A-688A770D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169-4604-BD43-F47A4CB4DF5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Calculate!$D$2:$D$201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69-4604-BD43-F47A4CB4DF5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-98.470325397914564</c:v>
                      </c:pt>
                      <c:pt idx="1">
                        <c:v>-98.470325397914564</c:v>
                      </c:pt>
                      <c:pt idx="2">
                        <c:v>-98.470325397914564</c:v>
                      </c:pt>
                      <c:pt idx="3">
                        <c:v>-98.470325397914564</c:v>
                      </c:pt>
                      <c:pt idx="4">
                        <c:v>-98.470325397914564</c:v>
                      </c:pt>
                      <c:pt idx="5">
                        <c:v>-98.470325397914564</c:v>
                      </c:pt>
                      <c:pt idx="6">
                        <c:v>-98.470325397914564</c:v>
                      </c:pt>
                      <c:pt idx="7">
                        <c:v>-98.470325397914564</c:v>
                      </c:pt>
                      <c:pt idx="8">
                        <c:v>-98.470325397914564</c:v>
                      </c:pt>
                      <c:pt idx="9">
                        <c:v>-98.470325397914564</c:v>
                      </c:pt>
                      <c:pt idx="10">
                        <c:v>-98.470325397914564</c:v>
                      </c:pt>
                      <c:pt idx="11">
                        <c:v>-98.470325397914564</c:v>
                      </c:pt>
                      <c:pt idx="12">
                        <c:v>-98.470325397914564</c:v>
                      </c:pt>
                      <c:pt idx="13">
                        <c:v>-98.470325397914564</c:v>
                      </c:pt>
                      <c:pt idx="14">
                        <c:v>-98.470325397914564</c:v>
                      </c:pt>
                      <c:pt idx="15">
                        <c:v>-98.470325397914564</c:v>
                      </c:pt>
                      <c:pt idx="16">
                        <c:v>-98.470325397914564</c:v>
                      </c:pt>
                      <c:pt idx="17">
                        <c:v>-98.470325397914564</c:v>
                      </c:pt>
                      <c:pt idx="18">
                        <c:v>-98.470325397914564</c:v>
                      </c:pt>
                      <c:pt idx="19">
                        <c:v>-98.470325397914564</c:v>
                      </c:pt>
                      <c:pt idx="20">
                        <c:v>-98.470325397914564</c:v>
                      </c:pt>
                      <c:pt idx="21">
                        <c:v>-98.470325397914564</c:v>
                      </c:pt>
                      <c:pt idx="22">
                        <c:v>-98.470325397914564</c:v>
                      </c:pt>
                      <c:pt idx="23">
                        <c:v>-98.470325397914564</c:v>
                      </c:pt>
                      <c:pt idx="24">
                        <c:v>-98.470325397914564</c:v>
                      </c:pt>
                      <c:pt idx="25">
                        <c:v>-98.470325397914564</c:v>
                      </c:pt>
                      <c:pt idx="26">
                        <c:v>-98.470325397914564</c:v>
                      </c:pt>
                      <c:pt idx="27">
                        <c:v>-98.470325397914564</c:v>
                      </c:pt>
                      <c:pt idx="28">
                        <c:v>-98.470325397914564</c:v>
                      </c:pt>
                      <c:pt idx="29">
                        <c:v>-98.470325397914564</c:v>
                      </c:pt>
                      <c:pt idx="30">
                        <c:v>-98.470325397914564</c:v>
                      </c:pt>
                      <c:pt idx="31">
                        <c:v>-98.470325397914564</c:v>
                      </c:pt>
                      <c:pt idx="32">
                        <c:v>-98.470325397914564</c:v>
                      </c:pt>
                      <c:pt idx="33">
                        <c:v>-98.470325397914564</c:v>
                      </c:pt>
                      <c:pt idx="34">
                        <c:v>-98.470325397914564</c:v>
                      </c:pt>
                      <c:pt idx="35">
                        <c:v>-98.470325397914564</c:v>
                      </c:pt>
                      <c:pt idx="36">
                        <c:v>-98.470325397914564</c:v>
                      </c:pt>
                      <c:pt idx="37">
                        <c:v>-98.470325397914564</c:v>
                      </c:pt>
                      <c:pt idx="38">
                        <c:v>-98.470325397914564</c:v>
                      </c:pt>
                      <c:pt idx="39">
                        <c:v>-98.470325397914564</c:v>
                      </c:pt>
                      <c:pt idx="40">
                        <c:v>-98.470325397914564</c:v>
                      </c:pt>
                      <c:pt idx="41">
                        <c:v>-98.470325397914564</c:v>
                      </c:pt>
                      <c:pt idx="42">
                        <c:v>-98.470325397914564</c:v>
                      </c:pt>
                      <c:pt idx="43">
                        <c:v>-98.470325397914564</c:v>
                      </c:pt>
                      <c:pt idx="44">
                        <c:v>-98.470325397914564</c:v>
                      </c:pt>
                      <c:pt idx="45">
                        <c:v>-98.470325397914564</c:v>
                      </c:pt>
                      <c:pt idx="46">
                        <c:v>-98.470325397914564</c:v>
                      </c:pt>
                      <c:pt idx="47">
                        <c:v>-98.470325397914564</c:v>
                      </c:pt>
                      <c:pt idx="48">
                        <c:v>-98.470325397914564</c:v>
                      </c:pt>
                      <c:pt idx="49">
                        <c:v>-98.470325397914564</c:v>
                      </c:pt>
                      <c:pt idx="50">
                        <c:v>-98.470325397914564</c:v>
                      </c:pt>
                      <c:pt idx="51">
                        <c:v>-98.470325397914564</c:v>
                      </c:pt>
                      <c:pt idx="52">
                        <c:v>-98.470325397914564</c:v>
                      </c:pt>
                      <c:pt idx="53">
                        <c:v>-98.470325397914564</c:v>
                      </c:pt>
                      <c:pt idx="54">
                        <c:v>-98.470325397914564</c:v>
                      </c:pt>
                      <c:pt idx="55">
                        <c:v>-98.470325397914564</c:v>
                      </c:pt>
                      <c:pt idx="56">
                        <c:v>-98.470325397914564</c:v>
                      </c:pt>
                      <c:pt idx="57">
                        <c:v>-98.470325397914564</c:v>
                      </c:pt>
                      <c:pt idx="58">
                        <c:v>-98.470325397914564</c:v>
                      </c:pt>
                      <c:pt idx="59">
                        <c:v>-98.470325397914564</c:v>
                      </c:pt>
                      <c:pt idx="60">
                        <c:v>-98.470325397914564</c:v>
                      </c:pt>
                      <c:pt idx="61">
                        <c:v>-98.470325397914564</c:v>
                      </c:pt>
                      <c:pt idx="62">
                        <c:v>-98.470325397914564</c:v>
                      </c:pt>
                      <c:pt idx="63">
                        <c:v>-98.470325397914564</c:v>
                      </c:pt>
                      <c:pt idx="64">
                        <c:v>-98.470325397914564</c:v>
                      </c:pt>
                      <c:pt idx="65">
                        <c:v>-98.470325397914564</c:v>
                      </c:pt>
                      <c:pt idx="66">
                        <c:v>-98.470325397914564</c:v>
                      </c:pt>
                      <c:pt idx="67">
                        <c:v>-98.470325397914564</c:v>
                      </c:pt>
                      <c:pt idx="68">
                        <c:v>-98.470325397914564</c:v>
                      </c:pt>
                      <c:pt idx="69">
                        <c:v>-98.470325397914564</c:v>
                      </c:pt>
                      <c:pt idx="70">
                        <c:v>-98.470325397914564</c:v>
                      </c:pt>
                      <c:pt idx="71">
                        <c:v>-98.470325397914564</c:v>
                      </c:pt>
                      <c:pt idx="72">
                        <c:v>-98.470325397914564</c:v>
                      </c:pt>
                      <c:pt idx="73">
                        <c:v>-98.470325397914564</c:v>
                      </c:pt>
                      <c:pt idx="74">
                        <c:v>-98.470325397914564</c:v>
                      </c:pt>
                      <c:pt idx="75">
                        <c:v>-98.470325397914564</c:v>
                      </c:pt>
                      <c:pt idx="76">
                        <c:v>-98.470325397914564</c:v>
                      </c:pt>
                      <c:pt idx="77">
                        <c:v>-98.470325397914564</c:v>
                      </c:pt>
                      <c:pt idx="78">
                        <c:v>-98.470325397914564</c:v>
                      </c:pt>
                      <c:pt idx="79">
                        <c:v>-98.470325397914564</c:v>
                      </c:pt>
                      <c:pt idx="80">
                        <c:v>-98.470325397914564</c:v>
                      </c:pt>
                      <c:pt idx="81">
                        <c:v>-98.470325397914564</c:v>
                      </c:pt>
                      <c:pt idx="82">
                        <c:v>-98.470325397914564</c:v>
                      </c:pt>
                      <c:pt idx="83">
                        <c:v>-98.470325397914564</c:v>
                      </c:pt>
                      <c:pt idx="84">
                        <c:v>-98.470325397914564</c:v>
                      </c:pt>
                      <c:pt idx="85">
                        <c:v>-98.470325397914564</c:v>
                      </c:pt>
                      <c:pt idx="86">
                        <c:v>-98.470325397914564</c:v>
                      </c:pt>
                      <c:pt idx="87">
                        <c:v>-98.470325397914564</c:v>
                      </c:pt>
                      <c:pt idx="88">
                        <c:v>-98.470325397914564</c:v>
                      </c:pt>
                      <c:pt idx="89">
                        <c:v>-98.470325397914564</c:v>
                      </c:pt>
                      <c:pt idx="90">
                        <c:v>-98.470325397914564</c:v>
                      </c:pt>
                      <c:pt idx="91">
                        <c:v>-98.470325397914564</c:v>
                      </c:pt>
                      <c:pt idx="92">
                        <c:v>-98.470325397914564</c:v>
                      </c:pt>
                      <c:pt idx="93">
                        <c:v>-98.470325397914564</c:v>
                      </c:pt>
                      <c:pt idx="94">
                        <c:v>-98.470325397914564</c:v>
                      </c:pt>
                      <c:pt idx="95">
                        <c:v>-98.470325397914564</c:v>
                      </c:pt>
                      <c:pt idx="96">
                        <c:v>-98.470325397914564</c:v>
                      </c:pt>
                      <c:pt idx="97">
                        <c:v>-98.470325397914564</c:v>
                      </c:pt>
                      <c:pt idx="98">
                        <c:v>-98.470325397914564</c:v>
                      </c:pt>
                      <c:pt idx="99">
                        <c:v>-98.470325397914564</c:v>
                      </c:pt>
                      <c:pt idx="100">
                        <c:v>-98.470325397914564</c:v>
                      </c:pt>
                      <c:pt idx="101">
                        <c:v>-98.470325397914564</c:v>
                      </c:pt>
                      <c:pt idx="102">
                        <c:v>-98.470325397914564</c:v>
                      </c:pt>
                      <c:pt idx="103">
                        <c:v>-98.470325397914564</c:v>
                      </c:pt>
                      <c:pt idx="104">
                        <c:v>-98.470325397914564</c:v>
                      </c:pt>
                      <c:pt idx="105">
                        <c:v>-98.470325397914564</c:v>
                      </c:pt>
                      <c:pt idx="106">
                        <c:v>-98.470325397914564</c:v>
                      </c:pt>
                      <c:pt idx="107">
                        <c:v>-98.470325397914564</c:v>
                      </c:pt>
                      <c:pt idx="108">
                        <c:v>-98.470325397914564</c:v>
                      </c:pt>
                      <c:pt idx="109">
                        <c:v>-98.470325397914564</c:v>
                      </c:pt>
                      <c:pt idx="110">
                        <c:v>-98.470325397914564</c:v>
                      </c:pt>
                      <c:pt idx="111">
                        <c:v>-98.470325397914564</c:v>
                      </c:pt>
                      <c:pt idx="112">
                        <c:v>-98.470325397914564</c:v>
                      </c:pt>
                      <c:pt idx="113">
                        <c:v>-98.470325397914564</c:v>
                      </c:pt>
                      <c:pt idx="114">
                        <c:v>-98.470325397914564</c:v>
                      </c:pt>
                      <c:pt idx="115">
                        <c:v>-98.470325397914564</c:v>
                      </c:pt>
                      <c:pt idx="116">
                        <c:v>-98.470325397914564</c:v>
                      </c:pt>
                      <c:pt idx="117">
                        <c:v>-98.470325397914564</c:v>
                      </c:pt>
                      <c:pt idx="118">
                        <c:v>-98.470325397914564</c:v>
                      </c:pt>
                      <c:pt idx="119">
                        <c:v>-98.470325397914564</c:v>
                      </c:pt>
                      <c:pt idx="120">
                        <c:v>-98.470325397914564</c:v>
                      </c:pt>
                      <c:pt idx="121">
                        <c:v>-98.470325397914564</c:v>
                      </c:pt>
                      <c:pt idx="122">
                        <c:v>-98.470325397914564</c:v>
                      </c:pt>
                      <c:pt idx="123">
                        <c:v>-98.470325397914564</c:v>
                      </c:pt>
                      <c:pt idx="124">
                        <c:v>-98.470325397914564</c:v>
                      </c:pt>
                      <c:pt idx="125">
                        <c:v>-98.470325397914564</c:v>
                      </c:pt>
                      <c:pt idx="126">
                        <c:v>-98.470325397914564</c:v>
                      </c:pt>
                      <c:pt idx="127">
                        <c:v>-98.470325397914564</c:v>
                      </c:pt>
                      <c:pt idx="128">
                        <c:v>-98.470325397914564</c:v>
                      </c:pt>
                      <c:pt idx="129">
                        <c:v>-98.470325397914564</c:v>
                      </c:pt>
                      <c:pt idx="130">
                        <c:v>-98.470325397914564</c:v>
                      </c:pt>
                      <c:pt idx="131">
                        <c:v>-98.470325397914564</c:v>
                      </c:pt>
                      <c:pt idx="132">
                        <c:v>-98.470325397914564</c:v>
                      </c:pt>
                      <c:pt idx="133">
                        <c:v>-98.470325397914564</c:v>
                      </c:pt>
                      <c:pt idx="134">
                        <c:v>-98.470325397914564</c:v>
                      </c:pt>
                      <c:pt idx="135">
                        <c:v>-98.470325397914564</c:v>
                      </c:pt>
                      <c:pt idx="136">
                        <c:v>-98.470325397914564</c:v>
                      </c:pt>
                      <c:pt idx="137">
                        <c:v>-98.470325397914564</c:v>
                      </c:pt>
                      <c:pt idx="138">
                        <c:v>-98.470325397914564</c:v>
                      </c:pt>
                      <c:pt idx="139">
                        <c:v>-98.470325397914564</c:v>
                      </c:pt>
                      <c:pt idx="140">
                        <c:v>-98.470325397914564</c:v>
                      </c:pt>
                      <c:pt idx="141">
                        <c:v>-98.470325397914564</c:v>
                      </c:pt>
                      <c:pt idx="142">
                        <c:v>-98.470325397914564</c:v>
                      </c:pt>
                      <c:pt idx="143">
                        <c:v>-98.470325397914564</c:v>
                      </c:pt>
                      <c:pt idx="144">
                        <c:v>-98.470325397914564</c:v>
                      </c:pt>
                      <c:pt idx="145">
                        <c:v>-98.470325397914564</c:v>
                      </c:pt>
                      <c:pt idx="146">
                        <c:v>-98.470325397914564</c:v>
                      </c:pt>
                      <c:pt idx="147">
                        <c:v>-98.470325397914564</c:v>
                      </c:pt>
                      <c:pt idx="148">
                        <c:v>-98.470325397914564</c:v>
                      </c:pt>
                      <c:pt idx="149">
                        <c:v>-98.470325397914564</c:v>
                      </c:pt>
                      <c:pt idx="150">
                        <c:v>-98.470325397914564</c:v>
                      </c:pt>
                      <c:pt idx="151">
                        <c:v>-98.470325397914564</c:v>
                      </c:pt>
                      <c:pt idx="152">
                        <c:v>-98.470325397914564</c:v>
                      </c:pt>
                      <c:pt idx="153">
                        <c:v>-98.470325397914564</c:v>
                      </c:pt>
                      <c:pt idx="154">
                        <c:v>-98.470325397914564</c:v>
                      </c:pt>
                      <c:pt idx="155">
                        <c:v>-98.470325397914564</c:v>
                      </c:pt>
                      <c:pt idx="156">
                        <c:v>-148.47032539791456</c:v>
                      </c:pt>
                      <c:pt idx="157">
                        <c:v>-148.47032539791456</c:v>
                      </c:pt>
                      <c:pt idx="158">
                        <c:v>-148.47032539791456</c:v>
                      </c:pt>
                      <c:pt idx="159">
                        <c:v>-148.47032539791456</c:v>
                      </c:pt>
                      <c:pt idx="160">
                        <c:v>-148.47032539791456</c:v>
                      </c:pt>
                      <c:pt idx="161">
                        <c:v>-148.47032539791456</c:v>
                      </c:pt>
                      <c:pt idx="162">
                        <c:v>-148.47032539791456</c:v>
                      </c:pt>
                      <c:pt idx="163">
                        <c:v>-148.47032539791456</c:v>
                      </c:pt>
                      <c:pt idx="164">
                        <c:v>-148.47032539791456</c:v>
                      </c:pt>
                      <c:pt idx="165">
                        <c:v>-148.47032539791456</c:v>
                      </c:pt>
                      <c:pt idx="166">
                        <c:v>-148.47032539791456</c:v>
                      </c:pt>
                      <c:pt idx="167">
                        <c:v>-148.47032539791456</c:v>
                      </c:pt>
                      <c:pt idx="168">
                        <c:v>-148.47032539791456</c:v>
                      </c:pt>
                      <c:pt idx="169">
                        <c:v>-148.47032539791456</c:v>
                      </c:pt>
                      <c:pt idx="170">
                        <c:v>-148.47032539791456</c:v>
                      </c:pt>
                      <c:pt idx="171">
                        <c:v>-148.47032539791456</c:v>
                      </c:pt>
                      <c:pt idx="172">
                        <c:v>-148.47032539791456</c:v>
                      </c:pt>
                      <c:pt idx="173">
                        <c:v>-148.47032539791456</c:v>
                      </c:pt>
                      <c:pt idx="174">
                        <c:v>-148.47032539791456</c:v>
                      </c:pt>
                      <c:pt idx="175">
                        <c:v>-148.47032539791456</c:v>
                      </c:pt>
                      <c:pt idx="176">
                        <c:v>-148.47032539791456</c:v>
                      </c:pt>
                      <c:pt idx="177">
                        <c:v>-148.47032539791456</c:v>
                      </c:pt>
                      <c:pt idx="178">
                        <c:v>-148.47032539791456</c:v>
                      </c:pt>
                      <c:pt idx="179">
                        <c:v>-148.47032539791456</c:v>
                      </c:pt>
                      <c:pt idx="180">
                        <c:v>-148.47032539791456</c:v>
                      </c:pt>
                      <c:pt idx="181">
                        <c:v>-148.47032539791456</c:v>
                      </c:pt>
                      <c:pt idx="182">
                        <c:v>-148.47032539791456</c:v>
                      </c:pt>
                      <c:pt idx="183">
                        <c:v>-148.47032539791456</c:v>
                      </c:pt>
                      <c:pt idx="184">
                        <c:v>-148.47032539791456</c:v>
                      </c:pt>
                      <c:pt idx="185">
                        <c:v>-148.47032539791456</c:v>
                      </c:pt>
                      <c:pt idx="186">
                        <c:v>-148.47032539791456</c:v>
                      </c:pt>
                      <c:pt idx="187">
                        <c:v>-148.47032539791456</c:v>
                      </c:pt>
                      <c:pt idx="188">
                        <c:v>-148.47032539791456</c:v>
                      </c:pt>
                      <c:pt idx="189">
                        <c:v>-148.47032539791456</c:v>
                      </c:pt>
                      <c:pt idx="190">
                        <c:v>-148.47032539791456</c:v>
                      </c:pt>
                      <c:pt idx="191">
                        <c:v>-148.47032539791456</c:v>
                      </c:pt>
                      <c:pt idx="192">
                        <c:v>-148.47032539791456</c:v>
                      </c:pt>
                      <c:pt idx="193">
                        <c:v>-148.47032539791456</c:v>
                      </c:pt>
                      <c:pt idx="194">
                        <c:v>-148.47032539791456</c:v>
                      </c:pt>
                      <c:pt idx="195">
                        <c:v>-148.47032539791456</c:v>
                      </c:pt>
                      <c:pt idx="196">
                        <c:v>-148.47032539791456</c:v>
                      </c:pt>
                      <c:pt idx="197">
                        <c:v>-148.47032539791456</c:v>
                      </c:pt>
                      <c:pt idx="198">
                        <c:v>-148.47032539791456</c:v>
                      </c:pt>
                      <c:pt idx="199">
                        <c:v>-148.47032539791456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69-4604-BD43-F47A4CB4DF59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69-4604-BD43-F47A4CB4DF59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69-4604-BD43-F47A4CB4DF59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169-4604-BD43-F47A4CB4DF59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169-4604-BD43-F47A4CB4DF59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169-4604-BD43-F47A4CB4DF59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169-4604-BD43-F47A4CB4DF59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169-4604-BD43-F47A4CB4DF59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169-4604-BD43-F47A4CB4DF59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169-4604-BD43-F47A4CB4DF59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169-4604-BD43-F47A4CB4DF59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169-4604-BD43-F47A4CB4DF59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169-4604-BD43-F47A4CB4DF59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Calculate!$T$2:$T$201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169-4604-BD43-F47A4CB4DF59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Calculate!$U$2:$U$201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169-4604-BD43-F47A4CB4DF59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169-4604-BD43-F47A4CB4DF59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169-4604-BD43-F47A4CB4DF59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Tx PSD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tx>
            <c:strRef>
              <c:f>Calculate!$D$1</c:f>
              <c:strCache>
                <c:ptCount val="1"/>
                <c:pt idx="0">
                  <c:v>Tx_PSD_us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Calculate!$D$2:$D$201</c:f>
              <c:numCache>
                <c:formatCode>0.00</c:formatCode>
                <c:ptCount val="200"/>
                <c:pt idx="0">
                  <c:v>-98.470325397914564</c:v>
                </c:pt>
                <c:pt idx="1">
                  <c:v>-98.470325397914564</c:v>
                </c:pt>
                <c:pt idx="2">
                  <c:v>-98.470325397914564</c:v>
                </c:pt>
                <c:pt idx="3">
                  <c:v>-98.470325397914564</c:v>
                </c:pt>
                <c:pt idx="4">
                  <c:v>-98.470325397914564</c:v>
                </c:pt>
                <c:pt idx="5">
                  <c:v>-98.470325397914564</c:v>
                </c:pt>
                <c:pt idx="6">
                  <c:v>-98.470325397914564</c:v>
                </c:pt>
                <c:pt idx="7">
                  <c:v>-98.470325397914564</c:v>
                </c:pt>
                <c:pt idx="8">
                  <c:v>-98.470325397914564</c:v>
                </c:pt>
                <c:pt idx="9">
                  <c:v>-98.470325397914564</c:v>
                </c:pt>
                <c:pt idx="10">
                  <c:v>-98.470325397914564</c:v>
                </c:pt>
                <c:pt idx="11">
                  <c:v>-98.470325397914564</c:v>
                </c:pt>
                <c:pt idx="12">
                  <c:v>-98.470325397914564</c:v>
                </c:pt>
                <c:pt idx="13">
                  <c:v>-98.470325397914564</c:v>
                </c:pt>
                <c:pt idx="14">
                  <c:v>-98.470325397914564</c:v>
                </c:pt>
                <c:pt idx="15">
                  <c:v>-98.470325397914564</c:v>
                </c:pt>
                <c:pt idx="16">
                  <c:v>-98.470325397914564</c:v>
                </c:pt>
                <c:pt idx="17">
                  <c:v>-98.470325397914564</c:v>
                </c:pt>
                <c:pt idx="18">
                  <c:v>-98.470325397914564</c:v>
                </c:pt>
                <c:pt idx="19">
                  <c:v>-98.470325397914564</c:v>
                </c:pt>
                <c:pt idx="20">
                  <c:v>-98.470325397914564</c:v>
                </c:pt>
                <c:pt idx="21">
                  <c:v>-98.470325397914564</c:v>
                </c:pt>
                <c:pt idx="22">
                  <c:v>-98.470325397914564</c:v>
                </c:pt>
                <c:pt idx="23">
                  <c:v>-98.470325397914564</c:v>
                </c:pt>
                <c:pt idx="24">
                  <c:v>-98.470325397914564</c:v>
                </c:pt>
                <c:pt idx="25">
                  <c:v>-98.470325397914564</c:v>
                </c:pt>
                <c:pt idx="26">
                  <c:v>-98.470325397914564</c:v>
                </c:pt>
                <c:pt idx="27">
                  <c:v>-98.470325397914564</c:v>
                </c:pt>
                <c:pt idx="28">
                  <c:v>-98.470325397914564</c:v>
                </c:pt>
                <c:pt idx="29">
                  <c:v>-98.470325397914564</c:v>
                </c:pt>
                <c:pt idx="30">
                  <c:v>-98.470325397914564</c:v>
                </c:pt>
                <c:pt idx="31">
                  <c:v>-98.470325397914564</c:v>
                </c:pt>
                <c:pt idx="32">
                  <c:v>-98.470325397914564</c:v>
                </c:pt>
                <c:pt idx="33">
                  <c:v>-98.470325397914564</c:v>
                </c:pt>
                <c:pt idx="34">
                  <c:v>-98.470325397914564</c:v>
                </c:pt>
                <c:pt idx="35">
                  <c:v>-98.470325397914564</c:v>
                </c:pt>
                <c:pt idx="36">
                  <c:v>-98.470325397914564</c:v>
                </c:pt>
                <c:pt idx="37">
                  <c:v>-98.470325397914564</c:v>
                </c:pt>
                <c:pt idx="38">
                  <c:v>-98.470325397914564</c:v>
                </c:pt>
                <c:pt idx="39">
                  <c:v>-98.470325397914564</c:v>
                </c:pt>
                <c:pt idx="40">
                  <c:v>-98.470325397914564</c:v>
                </c:pt>
                <c:pt idx="41">
                  <c:v>-98.470325397914564</c:v>
                </c:pt>
                <c:pt idx="42">
                  <c:v>-98.470325397914564</c:v>
                </c:pt>
                <c:pt idx="43">
                  <c:v>-98.470325397914564</c:v>
                </c:pt>
                <c:pt idx="44">
                  <c:v>-98.470325397914564</c:v>
                </c:pt>
                <c:pt idx="45">
                  <c:v>-98.470325397914564</c:v>
                </c:pt>
                <c:pt idx="46">
                  <c:v>-98.470325397914564</c:v>
                </c:pt>
                <c:pt idx="47">
                  <c:v>-98.470325397914564</c:v>
                </c:pt>
                <c:pt idx="48">
                  <c:v>-98.470325397914564</c:v>
                </c:pt>
                <c:pt idx="49">
                  <c:v>-98.470325397914564</c:v>
                </c:pt>
                <c:pt idx="50">
                  <c:v>-98.470325397914564</c:v>
                </c:pt>
                <c:pt idx="51">
                  <c:v>-98.470325397914564</c:v>
                </c:pt>
                <c:pt idx="52">
                  <c:v>-98.470325397914564</c:v>
                </c:pt>
                <c:pt idx="53">
                  <c:v>-98.470325397914564</c:v>
                </c:pt>
                <c:pt idx="54">
                  <c:v>-98.470325397914564</c:v>
                </c:pt>
                <c:pt idx="55">
                  <c:v>-98.470325397914564</c:v>
                </c:pt>
                <c:pt idx="56">
                  <c:v>-98.470325397914564</c:v>
                </c:pt>
                <c:pt idx="57">
                  <c:v>-98.470325397914564</c:v>
                </c:pt>
                <c:pt idx="58">
                  <c:v>-98.470325397914564</c:v>
                </c:pt>
                <c:pt idx="59">
                  <c:v>-98.470325397914564</c:v>
                </c:pt>
                <c:pt idx="60">
                  <c:v>-98.470325397914564</c:v>
                </c:pt>
                <c:pt idx="61">
                  <c:v>-98.470325397914564</c:v>
                </c:pt>
                <c:pt idx="62">
                  <c:v>-98.470325397914564</c:v>
                </c:pt>
                <c:pt idx="63">
                  <c:v>-98.470325397914564</c:v>
                </c:pt>
                <c:pt idx="64">
                  <c:v>-98.470325397914564</c:v>
                </c:pt>
                <c:pt idx="65">
                  <c:v>-98.470325397914564</c:v>
                </c:pt>
                <c:pt idx="66">
                  <c:v>-98.470325397914564</c:v>
                </c:pt>
                <c:pt idx="67">
                  <c:v>-98.470325397914564</c:v>
                </c:pt>
                <c:pt idx="68">
                  <c:v>-98.470325397914564</c:v>
                </c:pt>
                <c:pt idx="69">
                  <c:v>-98.470325397914564</c:v>
                </c:pt>
                <c:pt idx="70">
                  <c:v>-98.470325397914564</c:v>
                </c:pt>
                <c:pt idx="71">
                  <c:v>-98.470325397914564</c:v>
                </c:pt>
                <c:pt idx="72">
                  <c:v>-98.470325397914564</c:v>
                </c:pt>
                <c:pt idx="73">
                  <c:v>-98.470325397914564</c:v>
                </c:pt>
                <c:pt idx="74">
                  <c:v>-98.470325397914564</c:v>
                </c:pt>
                <c:pt idx="75">
                  <c:v>-98.470325397914564</c:v>
                </c:pt>
                <c:pt idx="76">
                  <c:v>-98.470325397914564</c:v>
                </c:pt>
                <c:pt idx="77">
                  <c:v>-98.470325397914564</c:v>
                </c:pt>
                <c:pt idx="78">
                  <c:v>-98.470325397914564</c:v>
                </c:pt>
                <c:pt idx="79">
                  <c:v>-98.470325397914564</c:v>
                </c:pt>
                <c:pt idx="80">
                  <c:v>-98.470325397914564</c:v>
                </c:pt>
                <c:pt idx="81">
                  <c:v>-98.470325397914564</c:v>
                </c:pt>
                <c:pt idx="82">
                  <c:v>-98.470325397914564</c:v>
                </c:pt>
                <c:pt idx="83">
                  <c:v>-98.470325397914564</c:v>
                </c:pt>
                <c:pt idx="84">
                  <c:v>-98.470325397914564</c:v>
                </c:pt>
                <c:pt idx="85">
                  <c:v>-98.470325397914564</c:v>
                </c:pt>
                <c:pt idx="86">
                  <c:v>-98.470325397914564</c:v>
                </c:pt>
                <c:pt idx="87">
                  <c:v>-98.470325397914564</c:v>
                </c:pt>
                <c:pt idx="88">
                  <c:v>-98.470325397914564</c:v>
                </c:pt>
                <c:pt idx="89">
                  <c:v>-98.470325397914564</c:v>
                </c:pt>
                <c:pt idx="90">
                  <c:v>-98.470325397914564</c:v>
                </c:pt>
                <c:pt idx="91">
                  <c:v>-98.470325397914564</c:v>
                </c:pt>
                <c:pt idx="92">
                  <c:v>-98.470325397914564</c:v>
                </c:pt>
                <c:pt idx="93">
                  <c:v>-98.470325397914564</c:v>
                </c:pt>
                <c:pt idx="94">
                  <c:v>-98.470325397914564</c:v>
                </c:pt>
                <c:pt idx="95">
                  <c:v>-98.470325397914564</c:v>
                </c:pt>
                <c:pt idx="96">
                  <c:v>-98.470325397914564</c:v>
                </c:pt>
                <c:pt idx="97">
                  <c:v>-98.470325397914564</c:v>
                </c:pt>
                <c:pt idx="98">
                  <c:v>-98.470325397914564</c:v>
                </c:pt>
                <c:pt idx="99">
                  <c:v>-98.470325397914564</c:v>
                </c:pt>
                <c:pt idx="100">
                  <c:v>-98.470325397914564</c:v>
                </c:pt>
                <c:pt idx="101">
                  <c:v>-98.470325397914564</c:v>
                </c:pt>
                <c:pt idx="102">
                  <c:v>-98.470325397914564</c:v>
                </c:pt>
                <c:pt idx="103">
                  <c:v>-98.470325397914564</c:v>
                </c:pt>
                <c:pt idx="104">
                  <c:v>-98.470325397914564</c:v>
                </c:pt>
                <c:pt idx="105">
                  <c:v>-98.470325397914564</c:v>
                </c:pt>
                <c:pt idx="106">
                  <c:v>-98.470325397914564</c:v>
                </c:pt>
                <c:pt idx="107">
                  <c:v>-98.470325397914564</c:v>
                </c:pt>
                <c:pt idx="108">
                  <c:v>-98.470325397914564</c:v>
                </c:pt>
                <c:pt idx="109">
                  <c:v>-98.470325397914564</c:v>
                </c:pt>
                <c:pt idx="110">
                  <c:v>-98.470325397914564</c:v>
                </c:pt>
                <c:pt idx="111">
                  <c:v>-98.470325397914564</c:v>
                </c:pt>
                <c:pt idx="112">
                  <c:v>-98.470325397914564</c:v>
                </c:pt>
                <c:pt idx="113">
                  <c:v>-98.470325397914564</c:v>
                </c:pt>
                <c:pt idx="114">
                  <c:v>-98.470325397914564</c:v>
                </c:pt>
                <c:pt idx="115">
                  <c:v>-98.470325397914564</c:v>
                </c:pt>
                <c:pt idx="116">
                  <c:v>-98.470325397914564</c:v>
                </c:pt>
                <c:pt idx="117">
                  <c:v>-98.470325397914564</c:v>
                </c:pt>
                <c:pt idx="118">
                  <c:v>-98.470325397914564</c:v>
                </c:pt>
                <c:pt idx="119">
                  <c:v>-98.470325397914564</c:v>
                </c:pt>
                <c:pt idx="120">
                  <c:v>-98.470325397914564</c:v>
                </c:pt>
                <c:pt idx="121">
                  <c:v>-98.470325397914564</c:v>
                </c:pt>
                <c:pt idx="122">
                  <c:v>-98.470325397914564</c:v>
                </c:pt>
                <c:pt idx="123">
                  <c:v>-98.470325397914564</c:v>
                </c:pt>
                <c:pt idx="124">
                  <c:v>-98.470325397914564</c:v>
                </c:pt>
                <c:pt idx="125">
                  <c:v>-98.470325397914564</c:v>
                </c:pt>
                <c:pt idx="126">
                  <c:v>-98.470325397914564</c:v>
                </c:pt>
                <c:pt idx="127">
                  <c:v>-98.470325397914564</c:v>
                </c:pt>
                <c:pt idx="128">
                  <c:v>-98.470325397914564</c:v>
                </c:pt>
                <c:pt idx="129">
                  <c:v>-98.470325397914564</c:v>
                </c:pt>
                <c:pt idx="130">
                  <c:v>-98.470325397914564</c:v>
                </c:pt>
                <c:pt idx="131">
                  <c:v>-98.470325397914564</c:v>
                </c:pt>
                <c:pt idx="132">
                  <c:v>-98.470325397914564</c:v>
                </c:pt>
                <c:pt idx="133">
                  <c:v>-98.470325397914564</c:v>
                </c:pt>
                <c:pt idx="134">
                  <c:v>-98.470325397914564</c:v>
                </c:pt>
                <c:pt idx="135">
                  <c:v>-98.470325397914564</c:v>
                </c:pt>
                <c:pt idx="136">
                  <c:v>-98.470325397914564</c:v>
                </c:pt>
                <c:pt idx="137">
                  <c:v>-98.470325397914564</c:v>
                </c:pt>
                <c:pt idx="138">
                  <c:v>-98.470325397914564</c:v>
                </c:pt>
                <c:pt idx="139">
                  <c:v>-98.470325397914564</c:v>
                </c:pt>
                <c:pt idx="140">
                  <c:v>-98.470325397914564</c:v>
                </c:pt>
                <c:pt idx="141">
                  <c:v>-98.470325397914564</c:v>
                </c:pt>
                <c:pt idx="142">
                  <c:v>-98.470325397914564</c:v>
                </c:pt>
                <c:pt idx="143">
                  <c:v>-98.470325397914564</c:v>
                </c:pt>
                <c:pt idx="144">
                  <c:v>-98.470325397914564</c:v>
                </c:pt>
                <c:pt idx="145">
                  <c:v>-98.470325397914564</c:v>
                </c:pt>
                <c:pt idx="146">
                  <c:v>-98.470325397914564</c:v>
                </c:pt>
                <c:pt idx="147">
                  <c:v>-98.470325397914564</c:v>
                </c:pt>
                <c:pt idx="148">
                  <c:v>-98.470325397914564</c:v>
                </c:pt>
                <c:pt idx="149">
                  <c:v>-98.470325397914564</c:v>
                </c:pt>
                <c:pt idx="150">
                  <c:v>-98.470325397914564</c:v>
                </c:pt>
                <c:pt idx="151">
                  <c:v>-98.470325397914564</c:v>
                </c:pt>
                <c:pt idx="152">
                  <c:v>-98.470325397914564</c:v>
                </c:pt>
                <c:pt idx="153">
                  <c:v>-98.470325397914564</c:v>
                </c:pt>
                <c:pt idx="154">
                  <c:v>-98.470325397914564</c:v>
                </c:pt>
                <c:pt idx="155">
                  <c:v>-98.470325397914564</c:v>
                </c:pt>
                <c:pt idx="156">
                  <c:v>-148.47032539791456</c:v>
                </c:pt>
                <c:pt idx="157">
                  <c:v>-148.47032539791456</c:v>
                </c:pt>
                <c:pt idx="158">
                  <c:v>-148.47032539791456</c:v>
                </c:pt>
                <c:pt idx="159">
                  <c:v>-148.47032539791456</c:v>
                </c:pt>
                <c:pt idx="160">
                  <c:v>-148.47032539791456</c:v>
                </c:pt>
                <c:pt idx="161">
                  <c:v>-148.47032539791456</c:v>
                </c:pt>
                <c:pt idx="162">
                  <c:v>-148.47032539791456</c:v>
                </c:pt>
                <c:pt idx="163">
                  <c:v>-148.47032539791456</c:v>
                </c:pt>
                <c:pt idx="164">
                  <c:v>-148.47032539791456</c:v>
                </c:pt>
                <c:pt idx="165">
                  <c:v>-148.47032539791456</c:v>
                </c:pt>
                <c:pt idx="166">
                  <c:v>-148.47032539791456</c:v>
                </c:pt>
                <c:pt idx="167">
                  <c:v>-148.47032539791456</c:v>
                </c:pt>
                <c:pt idx="168">
                  <c:v>-148.47032539791456</c:v>
                </c:pt>
                <c:pt idx="169">
                  <c:v>-148.47032539791456</c:v>
                </c:pt>
                <c:pt idx="170">
                  <c:v>-148.47032539791456</c:v>
                </c:pt>
                <c:pt idx="171">
                  <c:v>-148.47032539791456</c:v>
                </c:pt>
                <c:pt idx="172">
                  <c:v>-148.47032539791456</c:v>
                </c:pt>
                <c:pt idx="173">
                  <c:v>-148.47032539791456</c:v>
                </c:pt>
                <c:pt idx="174">
                  <c:v>-148.47032539791456</c:v>
                </c:pt>
                <c:pt idx="175">
                  <c:v>-148.47032539791456</c:v>
                </c:pt>
                <c:pt idx="176">
                  <c:v>-148.47032539791456</c:v>
                </c:pt>
                <c:pt idx="177">
                  <c:v>-148.47032539791456</c:v>
                </c:pt>
                <c:pt idx="178">
                  <c:v>-148.47032539791456</c:v>
                </c:pt>
                <c:pt idx="179">
                  <c:v>-148.47032539791456</c:v>
                </c:pt>
                <c:pt idx="180">
                  <c:v>-148.47032539791456</c:v>
                </c:pt>
                <c:pt idx="181">
                  <c:v>-148.47032539791456</c:v>
                </c:pt>
                <c:pt idx="182">
                  <c:v>-148.47032539791456</c:v>
                </c:pt>
                <c:pt idx="183">
                  <c:v>-148.47032539791456</c:v>
                </c:pt>
                <c:pt idx="184">
                  <c:v>-148.47032539791456</c:v>
                </c:pt>
                <c:pt idx="185">
                  <c:v>-148.47032539791456</c:v>
                </c:pt>
                <c:pt idx="186">
                  <c:v>-148.47032539791456</c:v>
                </c:pt>
                <c:pt idx="187">
                  <c:v>-148.47032539791456</c:v>
                </c:pt>
                <c:pt idx="188">
                  <c:v>-148.47032539791456</c:v>
                </c:pt>
                <c:pt idx="189">
                  <c:v>-148.47032539791456</c:v>
                </c:pt>
                <c:pt idx="190">
                  <c:v>-148.47032539791456</c:v>
                </c:pt>
                <c:pt idx="191">
                  <c:v>-148.47032539791456</c:v>
                </c:pt>
                <c:pt idx="192">
                  <c:v>-148.47032539791456</c:v>
                </c:pt>
                <c:pt idx="193">
                  <c:v>-148.47032539791456</c:v>
                </c:pt>
                <c:pt idx="194">
                  <c:v>-148.47032539791456</c:v>
                </c:pt>
                <c:pt idx="195">
                  <c:v>-148.47032539791456</c:v>
                </c:pt>
                <c:pt idx="196">
                  <c:v>-148.47032539791456</c:v>
                </c:pt>
                <c:pt idx="197">
                  <c:v>-148.47032539791456</c:v>
                </c:pt>
                <c:pt idx="198">
                  <c:v>-148.47032539791456</c:v>
                </c:pt>
                <c:pt idx="199">
                  <c:v>-148.47032539791456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84BA-4B27-90CF-23E3B49F7A94}"/>
            </c:ext>
          </c:extLst>
        </c:ser>
        <c:ser>
          <c:idx val="3"/>
          <c:order val="3"/>
          <c:tx>
            <c:strRef>
              <c:f>Calculate!$E$1</c:f>
              <c:strCache>
                <c:ptCount val="1"/>
                <c:pt idx="0">
                  <c:v>Tx_PSD_ds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Calculate!$E$2:$E$201</c:f>
              <c:numCache>
                <c:formatCode>0.00</c:formatCode>
                <c:ptCount val="200"/>
                <c:pt idx="0">
                  <c:v>-98.470325397914564</c:v>
                </c:pt>
                <c:pt idx="1">
                  <c:v>-98.470325397914564</c:v>
                </c:pt>
                <c:pt idx="2">
                  <c:v>-98.470325397914564</c:v>
                </c:pt>
                <c:pt idx="3">
                  <c:v>-98.470325397914564</c:v>
                </c:pt>
                <c:pt idx="4">
                  <c:v>-98.470325397914564</c:v>
                </c:pt>
                <c:pt idx="5">
                  <c:v>-98.470325397914564</c:v>
                </c:pt>
                <c:pt idx="6">
                  <c:v>-98.470325397914564</c:v>
                </c:pt>
                <c:pt idx="7">
                  <c:v>-98.470325397914564</c:v>
                </c:pt>
                <c:pt idx="8">
                  <c:v>-98.470325397914564</c:v>
                </c:pt>
                <c:pt idx="9">
                  <c:v>-98.470325397914564</c:v>
                </c:pt>
                <c:pt idx="10">
                  <c:v>-98.470325397914564</c:v>
                </c:pt>
                <c:pt idx="11">
                  <c:v>-98.470325397914564</c:v>
                </c:pt>
                <c:pt idx="12">
                  <c:v>-98.470325397914564</c:v>
                </c:pt>
                <c:pt idx="13">
                  <c:v>-98.470325397914564</c:v>
                </c:pt>
                <c:pt idx="14">
                  <c:v>-98.470325397914564</c:v>
                </c:pt>
                <c:pt idx="15">
                  <c:v>-98.470325397914564</c:v>
                </c:pt>
                <c:pt idx="16">
                  <c:v>-98.470325397914564</c:v>
                </c:pt>
                <c:pt idx="17">
                  <c:v>-98.470325397914564</c:v>
                </c:pt>
                <c:pt idx="18">
                  <c:v>-98.470325397914564</c:v>
                </c:pt>
                <c:pt idx="19">
                  <c:v>-98.470325397914564</c:v>
                </c:pt>
                <c:pt idx="20">
                  <c:v>-98.470325397914564</c:v>
                </c:pt>
                <c:pt idx="21">
                  <c:v>-98.470325397914564</c:v>
                </c:pt>
                <c:pt idx="22">
                  <c:v>-98.470325397914564</c:v>
                </c:pt>
                <c:pt idx="23">
                  <c:v>-98.470325397914564</c:v>
                </c:pt>
                <c:pt idx="24">
                  <c:v>-98.470325397914564</c:v>
                </c:pt>
                <c:pt idx="25">
                  <c:v>-98.470325397914564</c:v>
                </c:pt>
                <c:pt idx="26">
                  <c:v>-98.470325397914564</c:v>
                </c:pt>
                <c:pt idx="27">
                  <c:v>-98.470325397914564</c:v>
                </c:pt>
                <c:pt idx="28">
                  <c:v>-98.470325397914564</c:v>
                </c:pt>
                <c:pt idx="29">
                  <c:v>-98.470325397914564</c:v>
                </c:pt>
                <c:pt idx="30">
                  <c:v>-98.470325397914564</c:v>
                </c:pt>
                <c:pt idx="31">
                  <c:v>-98.470325397914564</c:v>
                </c:pt>
                <c:pt idx="32">
                  <c:v>-98.470325397914564</c:v>
                </c:pt>
                <c:pt idx="33">
                  <c:v>-98.470325397914564</c:v>
                </c:pt>
                <c:pt idx="34">
                  <c:v>-98.470325397914564</c:v>
                </c:pt>
                <c:pt idx="35">
                  <c:v>-98.470325397914564</c:v>
                </c:pt>
                <c:pt idx="36">
                  <c:v>-98.470325397914564</c:v>
                </c:pt>
                <c:pt idx="37">
                  <c:v>-98.470325397914564</c:v>
                </c:pt>
                <c:pt idx="38">
                  <c:v>-98.470325397914564</c:v>
                </c:pt>
                <c:pt idx="39">
                  <c:v>-98.470325397914564</c:v>
                </c:pt>
                <c:pt idx="40">
                  <c:v>-98.470325397914564</c:v>
                </c:pt>
                <c:pt idx="41">
                  <c:v>-98.470325397914564</c:v>
                </c:pt>
                <c:pt idx="42">
                  <c:v>-98.470325397914564</c:v>
                </c:pt>
                <c:pt idx="43">
                  <c:v>-98.470325397914564</c:v>
                </c:pt>
                <c:pt idx="44">
                  <c:v>-98.470325397914564</c:v>
                </c:pt>
                <c:pt idx="45">
                  <c:v>-98.470325397914564</c:v>
                </c:pt>
                <c:pt idx="46">
                  <c:v>-98.470325397914564</c:v>
                </c:pt>
                <c:pt idx="47">
                  <c:v>-98.470325397914564</c:v>
                </c:pt>
                <c:pt idx="48">
                  <c:v>-98.470325397914564</c:v>
                </c:pt>
                <c:pt idx="49">
                  <c:v>-98.470325397914564</c:v>
                </c:pt>
                <c:pt idx="50">
                  <c:v>-98.470325397914564</c:v>
                </c:pt>
                <c:pt idx="51">
                  <c:v>-98.470325397914564</c:v>
                </c:pt>
                <c:pt idx="52">
                  <c:v>-98.470325397914564</c:v>
                </c:pt>
                <c:pt idx="53">
                  <c:v>-98.470325397914564</c:v>
                </c:pt>
                <c:pt idx="54">
                  <c:v>-98.470325397914564</c:v>
                </c:pt>
                <c:pt idx="55">
                  <c:v>-98.470325397914564</c:v>
                </c:pt>
                <c:pt idx="56">
                  <c:v>-98.470325397914564</c:v>
                </c:pt>
                <c:pt idx="57">
                  <c:v>-98.470325397914564</c:v>
                </c:pt>
                <c:pt idx="58">
                  <c:v>-98.470325397914564</c:v>
                </c:pt>
                <c:pt idx="59">
                  <c:v>-98.470325397914564</c:v>
                </c:pt>
                <c:pt idx="60">
                  <c:v>-98.470325397914564</c:v>
                </c:pt>
                <c:pt idx="61">
                  <c:v>-98.470325397914564</c:v>
                </c:pt>
                <c:pt idx="62">
                  <c:v>-98.470325397914564</c:v>
                </c:pt>
                <c:pt idx="63">
                  <c:v>-98.470325397914564</c:v>
                </c:pt>
                <c:pt idx="64">
                  <c:v>-98.470325397914564</c:v>
                </c:pt>
                <c:pt idx="65">
                  <c:v>-98.470325397914564</c:v>
                </c:pt>
                <c:pt idx="66">
                  <c:v>-98.470325397914564</c:v>
                </c:pt>
                <c:pt idx="67">
                  <c:v>-98.470325397914564</c:v>
                </c:pt>
                <c:pt idx="68">
                  <c:v>-98.470325397914564</c:v>
                </c:pt>
                <c:pt idx="69">
                  <c:v>-98.470325397914564</c:v>
                </c:pt>
                <c:pt idx="70">
                  <c:v>-98.470325397914564</c:v>
                </c:pt>
                <c:pt idx="71">
                  <c:v>-98.470325397914564</c:v>
                </c:pt>
                <c:pt idx="72">
                  <c:v>-98.470325397914564</c:v>
                </c:pt>
                <c:pt idx="73">
                  <c:v>-98.470325397914564</c:v>
                </c:pt>
                <c:pt idx="74">
                  <c:v>-98.470325397914564</c:v>
                </c:pt>
                <c:pt idx="75">
                  <c:v>-98.470325397914564</c:v>
                </c:pt>
                <c:pt idx="76">
                  <c:v>-98.470325397914564</c:v>
                </c:pt>
                <c:pt idx="77">
                  <c:v>-98.470325397914564</c:v>
                </c:pt>
                <c:pt idx="78">
                  <c:v>-98.470325397914564</c:v>
                </c:pt>
                <c:pt idx="79">
                  <c:v>-98.470325397914564</c:v>
                </c:pt>
                <c:pt idx="80">
                  <c:v>-98.470325397914564</c:v>
                </c:pt>
                <c:pt idx="81">
                  <c:v>-98.470325397914564</c:v>
                </c:pt>
                <c:pt idx="82">
                  <c:v>-98.470325397914564</c:v>
                </c:pt>
                <c:pt idx="83">
                  <c:v>-98.470325397914564</c:v>
                </c:pt>
                <c:pt idx="84">
                  <c:v>-98.470325397914564</c:v>
                </c:pt>
                <c:pt idx="85">
                  <c:v>-98.470325397914564</c:v>
                </c:pt>
                <c:pt idx="86">
                  <c:v>-98.470325397914564</c:v>
                </c:pt>
                <c:pt idx="87">
                  <c:v>-98.470325397914564</c:v>
                </c:pt>
                <c:pt idx="88">
                  <c:v>-98.470325397914564</c:v>
                </c:pt>
                <c:pt idx="89">
                  <c:v>-98.470325397914564</c:v>
                </c:pt>
                <c:pt idx="90">
                  <c:v>-98.470325397914564</c:v>
                </c:pt>
                <c:pt idx="91">
                  <c:v>-98.470325397914564</c:v>
                </c:pt>
                <c:pt idx="92">
                  <c:v>-98.470325397914564</c:v>
                </c:pt>
                <c:pt idx="93">
                  <c:v>-98.470325397914564</c:v>
                </c:pt>
                <c:pt idx="94">
                  <c:v>-98.470325397914564</c:v>
                </c:pt>
                <c:pt idx="95">
                  <c:v>-98.470325397914564</c:v>
                </c:pt>
                <c:pt idx="96">
                  <c:v>-98.470325397914564</c:v>
                </c:pt>
                <c:pt idx="97">
                  <c:v>-98.470325397914564</c:v>
                </c:pt>
                <c:pt idx="98">
                  <c:v>-98.470325397914564</c:v>
                </c:pt>
                <c:pt idx="99">
                  <c:v>-98.470325397914564</c:v>
                </c:pt>
                <c:pt idx="100">
                  <c:v>-98.470325397914564</c:v>
                </c:pt>
                <c:pt idx="101">
                  <c:v>-98.470325397914564</c:v>
                </c:pt>
                <c:pt idx="102">
                  <c:v>-98.470325397914564</c:v>
                </c:pt>
                <c:pt idx="103">
                  <c:v>-98.470325397914564</c:v>
                </c:pt>
                <c:pt idx="104">
                  <c:v>-98.470325397914564</c:v>
                </c:pt>
                <c:pt idx="105">
                  <c:v>-98.470325397914564</c:v>
                </c:pt>
                <c:pt idx="106">
                  <c:v>-98.470325397914564</c:v>
                </c:pt>
                <c:pt idx="107">
                  <c:v>-98.470325397914564</c:v>
                </c:pt>
                <c:pt idx="108">
                  <c:v>-98.470325397914564</c:v>
                </c:pt>
                <c:pt idx="109">
                  <c:v>-98.470325397914564</c:v>
                </c:pt>
                <c:pt idx="110">
                  <c:v>-98.470325397914564</c:v>
                </c:pt>
                <c:pt idx="111">
                  <c:v>-98.470325397914564</c:v>
                </c:pt>
                <c:pt idx="112">
                  <c:v>-98.470325397914564</c:v>
                </c:pt>
                <c:pt idx="113">
                  <c:v>-98.470325397914564</c:v>
                </c:pt>
                <c:pt idx="114">
                  <c:v>-98.470325397914564</c:v>
                </c:pt>
                <c:pt idx="115">
                  <c:v>-98.470325397914564</c:v>
                </c:pt>
                <c:pt idx="116">
                  <c:v>-98.470325397914564</c:v>
                </c:pt>
                <c:pt idx="117">
                  <c:v>-98.470325397914564</c:v>
                </c:pt>
                <c:pt idx="118">
                  <c:v>-98.470325397914564</c:v>
                </c:pt>
                <c:pt idx="119">
                  <c:v>-98.470325397914564</c:v>
                </c:pt>
                <c:pt idx="120">
                  <c:v>-98.470325397914564</c:v>
                </c:pt>
                <c:pt idx="121">
                  <c:v>-98.470325397914564</c:v>
                </c:pt>
                <c:pt idx="122">
                  <c:v>-98.470325397914564</c:v>
                </c:pt>
                <c:pt idx="123">
                  <c:v>-98.470325397914564</c:v>
                </c:pt>
                <c:pt idx="124">
                  <c:v>-98.470325397914564</c:v>
                </c:pt>
                <c:pt idx="125">
                  <c:v>-98.470325397914564</c:v>
                </c:pt>
                <c:pt idx="126">
                  <c:v>-98.470325397914564</c:v>
                </c:pt>
                <c:pt idx="127">
                  <c:v>-98.470325397914564</c:v>
                </c:pt>
                <c:pt idx="128">
                  <c:v>-98.470325397914564</c:v>
                </c:pt>
                <c:pt idx="129">
                  <c:v>-98.470325397914564</c:v>
                </c:pt>
                <c:pt idx="130">
                  <c:v>-98.470325397914564</c:v>
                </c:pt>
                <c:pt idx="131">
                  <c:v>-98.470325397914564</c:v>
                </c:pt>
                <c:pt idx="132">
                  <c:v>-98.470325397914564</c:v>
                </c:pt>
                <c:pt idx="133">
                  <c:v>-98.470325397914564</c:v>
                </c:pt>
                <c:pt idx="134">
                  <c:v>-98.470325397914564</c:v>
                </c:pt>
                <c:pt idx="135">
                  <c:v>-98.470325397914564</c:v>
                </c:pt>
                <c:pt idx="136">
                  <c:v>-98.470325397914564</c:v>
                </c:pt>
                <c:pt idx="137">
                  <c:v>-98.470325397914564</c:v>
                </c:pt>
                <c:pt idx="138">
                  <c:v>-98.470325397914564</c:v>
                </c:pt>
                <c:pt idx="139">
                  <c:v>-98.470325397914564</c:v>
                </c:pt>
                <c:pt idx="140">
                  <c:v>-98.470325397914564</c:v>
                </c:pt>
                <c:pt idx="141">
                  <c:v>-98.470325397914564</c:v>
                </c:pt>
                <c:pt idx="142">
                  <c:v>-98.470325397914564</c:v>
                </c:pt>
                <c:pt idx="143">
                  <c:v>-98.470325397914564</c:v>
                </c:pt>
                <c:pt idx="144">
                  <c:v>-98.470325397914564</c:v>
                </c:pt>
                <c:pt idx="145">
                  <c:v>-98.470325397914564</c:v>
                </c:pt>
                <c:pt idx="146">
                  <c:v>-98.470325397914564</c:v>
                </c:pt>
                <c:pt idx="147">
                  <c:v>-98.470325397914564</c:v>
                </c:pt>
                <c:pt idx="148">
                  <c:v>-98.470325397914564</c:v>
                </c:pt>
                <c:pt idx="149">
                  <c:v>-98.470325397914564</c:v>
                </c:pt>
                <c:pt idx="150">
                  <c:v>-98.470325397914564</c:v>
                </c:pt>
                <c:pt idx="151">
                  <c:v>-98.470325397914564</c:v>
                </c:pt>
                <c:pt idx="152">
                  <c:v>-98.470325397914564</c:v>
                </c:pt>
                <c:pt idx="153">
                  <c:v>-98.470325397914564</c:v>
                </c:pt>
                <c:pt idx="154">
                  <c:v>-98.470325397914564</c:v>
                </c:pt>
                <c:pt idx="155">
                  <c:v>-98.470325397914564</c:v>
                </c:pt>
                <c:pt idx="156">
                  <c:v>-148.47032539791456</c:v>
                </c:pt>
                <c:pt idx="157">
                  <c:v>-148.47032539791456</c:v>
                </c:pt>
                <c:pt idx="158">
                  <c:v>-148.47032539791456</c:v>
                </c:pt>
                <c:pt idx="159">
                  <c:v>-148.47032539791456</c:v>
                </c:pt>
                <c:pt idx="160">
                  <c:v>-148.47032539791456</c:v>
                </c:pt>
                <c:pt idx="161">
                  <c:v>-148.47032539791456</c:v>
                </c:pt>
                <c:pt idx="162">
                  <c:v>-148.47032539791456</c:v>
                </c:pt>
                <c:pt idx="163">
                  <c:v>-148.47032539791456</c:v>
                </c:pt>
                <c:pt idx="164">
                  <c:v>-148.47032539791456</c:v>
                </c:pt>
                <c:pt idx="165">
                  <c:v>-148.47032539791456</c:v>
                </c:pt>
                <c:pt idx="166">
                  <c:v>-148.47032539791456</c:v>
                </c:pt>
                <c:pt idx="167">
                  <c:v>-148.47032539791456</c:v>
                </c:pt>
                <c:pt idx="168">
                  <c:v>-148.47032539791456</c:v>
                </c:pt>
                <c:pt idx="169">
                  <c:v>-148.47032539791456</c:v>
                </c:pt>
                <c:pt idx="170">
                  <c:v>-148.47032539791456</c:v>
                </c:pt>
                <c:pt idx="171">
                  <c:v>-148.47032539791456</c:v>
                </c:pt>
                <c:pt idx="172">
                  <c:v>-148.47032539791456</c:v>
                </c:pt>
                <c:pt idx="173">
                  <c:v>-148.47032539791456</c:v>
                </c:pt>
                <c:pt idx="174">
                  <c:v>-148.47032539791456</c:v>
                </c:pt>
                <c:pt idx="175">
                  <c:v>-148.47032539791456</c:v>
                </c:pt>
                <c:pt idx="176">
                  <c:v>-148.47032539791456</c:v>
                </c:pt>
                <c:pt idx="177">
                  <c:v>-148.47032539791456</c:v>
                </c:pt>
                <c:pt idx="178">
                  <c:v>-148.47032539791456</c:v>
                </c:pt>
                <c:pt idx="179">
                  <c:v>-148.47032539791456</c:v>
                </c:pt>
                <c:pt idx="180">
                  <c:v>-148.47032539791456</c:v>
                </c:pt>
                <c:pt idx="181">
                  <c:v>-148.47032539791456</c:v>
                </c:pt>
                <c:pt idx="182">
                  <c:v>-148.47032539791456</c:v>
                </c:pt>
                <c:pt idx="183">
                  <c:v>-148.47032539791456</c:v>
                </c:pt>
                <c:pt idx="184">
                  <c:v>-148.47032539791456</c:v>
                </c:pt>
                <c:pt idx="185">
                  <c:v>-148.47032539791456</c:v>
                </c:pt>
                <c:pt idx="186">
                  <c:v>-148.47032539791456</c:v>
                </c:pt>
                <c:pt idx="187">
                  <c:v>-148.47032539791456</c:v>
                </c:pt>
                <c:pt idx="188">
                  <c:v>-148.47032539791456</c:v>
                </c:pt>
                <c:pt idx="189">
                  <c:v>-148.47032539791456</c:v>
                </c:pt>
                <c:pt idx="190">
                  <c:v>-148.47032539791456</c:v>
                </c:pt>
                <c:pt idx="191">
                  <c:v>-148.47032539791456</c:v>
                </c:pt>
                <c:pt idx="192">
                  <c:v>-148.47032539791456</c:v>
                </c:pt>
                <c:pt idx="193">
                  <c:v>-148.47032539791456</c:v>
                </c:pt>
                <c:pt idx="194">
                  <c:v>-148.47032539791456</c:v>
                </c:pt>
                <c:pt idx="195">
                  <c:v>-148.47032539791456</c:v>
                </c:pt>
                <c:pt idx="196">
                  <c:v>-148.47032539791456</c:v>
                </c:pt>
                <c:pt idx="197">
                  <c:v>-148.47032539791456</c:v>
                </c:pt>
                <c:pt idx="198">
                  <c:v>-148.47032539791456</c:v>
                </c:pt>
                <c:pt idx="199">
                  <c:v>-148.47032539791456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84BA-4B27-90CF-23E3B49F7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84BA-4B27-90CF-23E3B49F7A94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Calculate!$C$2:$C$201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-1.6086600973579019</c:v>
                      </c:pt>
                      <c:pt idx="1">
                        <c:v>-2.3017195625033811</c:v>
                      </c:pt>
                      <c:pt idx="2">
                        <c:v>-2.8441401407273181</c:v>
                      </c:pt>
                      <c:pt idx="3">
                        <c:v>-3.308584293214575</c:v>
                      </c:pt>
                      <c:pt idx="4">
                        <c:v>-3.7231972125563821</c:v>
                      </c:pt>
                      <c:pt idx="5">
                        <c:v>-4.1024134670205363</c:v>
                      </c:pt>
                      <c:pt idx="6">
                        <c:v>-4.4548078522595347</c:v>
                      </c:pt>
                      <c:pt idx="7">
                        <c:v>-4.7859673220043044</c:v>
                      </c:pt>
                      <c:pt idx="8">
                        <c:v>-5.0997725875700182</c:v>
                      </c:pt>
                      <c:pt idx="9">
                        <c:v>-5.3990491712440027</c:v>
                      </c:pt>
                      <c:pt idx="10">
                        <c:v>-5.685930114120759</c:v>
                      </c:pt>
                      <c:pt idx="11">
                        <c:v>-5.9620725769509502</c:v>
                      </c:pt>
                      <c:pt idx="12">
                        <c:v>-6.2287944126856614</c:v>
                      </c:pt>
                      <c:pt idx="13">
                        <c:v>-6.4871641314314834</c:v>
                      </c:pt>
                      <c:pt idx="14">
                        <c:v>-6.7380623387201517</c:v>
                      </c:pt>
                      <c:pt idx="15">
                        <c:v>-6.9822249804242347</c:v>
                      </c:pt>
                      <c:pt idx="16">
                        <c:v>-7.2202745753939679</c:v>
                      </c:pt>
                      <c:pt idx="17">
                        <c:v>-7.4527432785027692</c:v>
                      </c:pt>
                      <c:pt idx="18">
                        <c:v>-7.6800902433629776</c:v>
                      </c:pt>
                      <c:pt idx="19">
                        <c:v>-7.9027149176066178</c:v>
                      </c:pt>
                      <c:pt idx="20">
                        <c:v>-8.1209673780334501</c:v>
                      </c:pt>
                      <c:pt idx="21">
                        <c:v>-8.3351564733807191</c:v>
                      </c:pt>
                      <c:pt idx="22">
                        <c:v>-8.54555631767664</c:v>
                      </c:pt>
                      <c:pt idx="23">
                        <c:v>-8.7524115250336969</c:v>
                      </c:pt>
                      <c:pt idx="24">
                        <c:v>-8.9559414717772192</c:v>
                      </c:pt>
                      <c:pt idx="25">
                        <c:v>-9.1563437980821885</c:v>
                      </c:pt>
                      <c:pt idx="26">
                        <c:v>-9.3537973086708934</c:v>
                      </c:pt>
                      <c:pt idx="27">
                        <c:v>-9.5484643940104643</c:v>
                      </c:pt>
                      <c:pt idx="28">
                        <c:v>-9.7404930654702966</c:v>
                      </c:pt>
                      <c:pt idx="29">
                        <c:v>-9.9300186771046075</c:v>
                      </c:pt>
                      <c:pt idx="30">
                        <c:v>-10.117165391093316</c:v>
                      </c:pt>
                      <c:pt idx="31">
                        <c:v>-10.302047431998776</c:v>
                      </c:pt>
                      <c:pt idx="32">
                        <c:v>-10.484770165885148</c:v>
                      </c:pt>
                      <c:pt idx="33">
                        <c:v>-10.665431033293812</c:v>
                      </c:pt>
                      <c:pt idx="34">
                        <c:v>-10.844120359560939</c:v>
                      </c:pt>
                      <c:pt idx="35">
                        <c:v>-11.020922061628974</c:v>
                      </c:pt>
                      <c:pt idx="36">
                        <c:v>-11.195914267066911</c:v>
                      </c:pt>
                      <c:pt idx="37">
                        <c:v>-11.369169858270054</c:v>
                      </c:pt>
                      <c:pt idx="38">
                        <c:v>-11.540756952604273</c:v>
                      </c:pt>
                      <c:pt idx="39">
                        <c:v>-11.710739327475716</c:v>
                      </c:pt>
                      <c:pt idx="40">
                        <c:v>-11.879176797855802</c:v>
                      </c:pt>
                      <c:pt idx="41">
                        <c:v>-12.046125552604051</c:v>
                      </c:pt>
                      <c:pt idx="42">
                        <c:v>-12.211638454954921</c:v>
                      </c:pt>
                      <c:pt idx="43">
                        <c:v>-12.375765311727999</c:v>
                      </c:pt>
                      <c:pt idx="44">
                        <c:v>-12.538553115150709</c:v>
                      </c:pt>
                      <c:pt idx="45">
                        <c:v>-12.700046260623886</c:v>
                      </c:pt>
                      <c:pt idx="46">
                        <c:v>-12.860286743292132</c:v>
                      </c:pt>
                      <c:pt idx="47">
                        <c:v>-13.019314335887149</c:v>
                      </c:pt>
                      <c:pt idx="48">
                        <c:v>-13.177166749979506</c:v>
                      </c:pt>
                      <c:pt idx="49">
                        <c:v>-13.333879782492327</c:v>
                      </c:pt>
                      <c:pt idx="50">
                        <c:v>-13.489487449090658</c:v>
                      </c:pt>
                      <c:pt idx="51">
                        <c:v>-13.644022105855345</c:v>
                      </c:pt>
                      <c:pt idx="52">
                        <c:v>-13.797514560475067</c:v>
                      </c:pt>
                      <c:pt idx="53">
                        <c:v>-13.949994174039483</c:v>
                      </c:pt>
                      <c:pt idx="54">
                        <c:v>-14.101488954386667</c:v>
                      </c:pt>
                      <c:pt idx="55">
                        <c:v>-14.252025641845758</c:v>
                      </c:pt>
                      <c:pt idx="56">
                        <c:v>-14.401629788118674</c:v>
                      </c:pt>
                      <c:pt idx="57">
                        <c:v>-14.550325828960156</c:v>
                      </c:pt>
                      <c:pt idx="58">
                        <c:v>-14.698137151241845</c:v>
                      </c:pt>
                      <c:pt idx="59">
                        <c:v>-14.845086154921869</c:v>
                      </c:pt>
                      <c:pt idx="60">
                        <c:v>-14.991194310385065</c:v>
                      </c:pt>
                      <c:pt idx="61">
                        <c:v>-15.136482211569669</c:v>
                      </c:pt>
                      <c:pt idx="62">
                        <c:v>-15.280969625252791</c:v>
                      </c:pt>
                      <c:pt idx="63">
                        <c:v>-15.424675536828801</c:v>
                      </c:pt>
                      <c:pt idx="64">
                        <c:v>-15.567618192880904</c:v>
                      </c:pt>
                      <c:pt idx="65">
                        <c:v>-15.709815140816211</c:v>
                      </c:pt>
                      <c:pt idx="66">
                        <c:v>-15.851283265808258</c:v>
                      </c:pt>
                      <c:pt idx="67">
                        <c:v>-15.992038825267043</c:v>
                      </c:pt>
                      <c:pt idx="68">
                        <c:v>-16.132097481036062</c:v>
                      </c:pt>
                      <c:pt idx="69">
                        <c:v>-16.271474329496741</c:v>
                      </c:pt>
                      <c:pt idx="70">
                        <c:v>-16.410183929744232</c:v>
                      </c:pt>
                      <c:pt idx="71">
                        <c:v>-16.548240329983415</c:v>
                      </c:pt>
                      <c:pt idx="72">
                        <c:v>-16.685657092280653</c:v>
                      </c:pt>
                      <c:pt idx="73">
                        <c:v>-16.822447315794733</c:v>
                      </c:pt>
                      <c:pt idx="74">
                        <c:v>-16.95862365859972</c:v>
                      </c:pt>
                      <c:pt idx="75">
                        <c:v>-17.0941983582026</c:v>
                      </c:pt>
                      <c:pt idx="76">
                        <c:v>-17.229183250849935</c:v>
                      </c:pt>
                      <c:pt idx="77">
                        <c:v>-17.36358978970966</c:v>
                      </c:pt>
                      <c:pt idx="78">
                        <c:v>-17.497429062007249</c:v>
                      </c:pt>
                      <c:pt idx="79">
                        <c:v>-17.630711805188653</c:v>
                      </c:pt>
                      <c:pt idx="80">
                        <c:v>-17.763448422176872</c:v>
                      </c:pt>
                      <c:pt idx="81">
                        <c:v>-17.895648995783404</c:v>
                      </c:pt>
                      <c:pt idx="82">
                        <c:v>-18.02732330233119</c:v>
                      </c:pt>
                      <c:pt idx="83">
                        <c:v>-18.15848082454109</c:v>
                      </c:pt>
                      <c:pt idx="84">
                        <c:v>-18.289130763729958</c:v>
                      </c:pt>
                      <c:pt idx="85">
                        <c:v>-18.419282051364839</c:v>
                      </c:pt>
                      <c:pt idx="86">
                        <c:v>-18.548943360014206</c:v>
                      </c:pt>
                      <c:pt idx="87">
                        <c:v>-18.678123113734397</c:v>
                      </c:pt>
                      <c:pt idx="88">
                        <c:v>-18.806829497926316</c:v>
                      </c:pt>
                      <c:pt idx="89">
                        <c:v>-18.935070468695137</c:v>
                      </c:pt>
                      <c:pt idx="90">
                        <c:v>-19.06285376174333</c:v>
                      </c:pt>
                      <c:pt idx="91">
                        <c:v>-19.190186900825008</c:v>
                      </c:pt>
                      <c:pt idx="92">
                        <c:v>-19.317077205787875</c:v>
                      </c:pt>
                      <c:pt idx="93">
                        <c:v>-19.443531800227067</c:v>
                      </c:pt>
                      <c:pt idx="94">
                        <c:v>-19.569557618773501</c:v>
                      </c:pt>
                      <c:pt idx="95">
                        <c:v>-19.695161414037898</c:v>
                      </c:pt>
                      <c:pt idx="96">
                        <c:v>-19.820349763230091</c:v>
                      </c:pt>
                      <c:pt idx="97">
                        <c:v>-19.94512907447205</c:v>
                      </c:pt>
                      <c:pt idx="98">
                        <c:v>-20.069505592821717</c:v>
                      </c:pt>
                      <c:pt idx="99">
                        <c:v>-20.193485406023711</c:v>
                      </c:pt>
                      <c:pt idx="100">
                        <c:v>-20.317074450001879</c:v>
                      </c:pt>
                      <c:pt idx="101">
                        <c:v>-20.440278514107721</c:v>
                      </c:pt>
                      <c:pt idx="102">
                        <c:v>-20.563103246137786</c:v>
                      </c:pt>
                      <c:pt idx="103">
                        <c:v>-20.685554157132422</c:v>
                      </c:pt>
                      <c:pt idx="104">
                        <c:v>-20.807636625967373</c:v>
                      </c:pt>
                      <c:pt idx="105">
                        <c:v>-20.929355903748981</c:v>
                      </c:pt>
                      <c:pt idx="106">
                        <c:v>-21.050717118023307</c:v>
                      </c:pt>
                      <c:pt idx="107">
                        <c:v>-21.171725276808601</c:v>
                      </c:pt>
                      <c:pt idx="108">
                        <c:v>-21.292385272460113</c:v>
                      </c:pt>
                      <c:pt idx="109">
                        <c:v>-21.412701885375736</c:v>
                      </c:pt>
                      <c:pt idx="110">
                        <c:v>-21.532679787550371</c:v>
                      </c:pt>
                      <c:pt idx="111">
                        <c:v>-21.652323545986516</c:v>
                      </c:pt>
                      <c:pt idx="112">
                        <c:v>-21.771637625968111</c:v>
                      </c:pt>
                      <c:pt idx="113">
                        <c:v>-21.890626394204336</c:v>
                      </c:pt>
                      <c:pt idx="114">
                        <c:v>-22.009294121849464</c:v>
                      </c:pt>
                      <c:pt idx="115">
                        <c:v>-22.127644987404953</c:v>
                      </c:pt>
                      <c:pt idx="116">
                        <c:v>-22.24568307950905</c:v>
                      </c:pt>
                      <c:pt idx="117">
                        <c:v>-22.363412399619431</c:v>
                      </c:pt>
                      <c:pt idx="118">
                        <c:v>-22.480836864593659</c:v>
                      </c:pt>
                      <c:pt idx="119">
                        <c:v>-22.597960309172343</c:v>
                      </c:pt>
                      <c:pt idx="120">
                        <c:v>-22.714786488369324</c:v>
                      </c:pt>
                      <c:pt idx="121">
                        <c:v>-22.831319079773127</c:v>
                      </c:pt>
                      <c:pt idx="122">
                        <c:v>-22.94756168576377</c:v>
                      </c:pt>
                      <c:pt idx="123">
                        <c:v>-23.063517835648533</c:v>
                      </c:pt>
                      <c:pt idx="124">
                        <c:v>-23.179190987720457</c:v>
                      </c:pt>
                      <c:pt idx="125">
                        <c:v>-23.294584531242826</c:v>
                      </c:pt>
                      <c:pt idx="126">
                        <c:v>-23.409701788362948</c:v>
                      </c:pt>
                      <c:pt idx="127">
                        <c:v>-23.524546015958222</c:v>
                      </c:pt>
                      <c:pt idx="128">
                        <c:v>-23.639120407417458</c:v>
                      </c:pt>
                      <c:pt idx="129">
                        <c:v>-23.753428094360146</c:v>
                      </c:pt>
                      <c:pt idx="130">
                        <c:v>-23.867472148296368</c:v>
                      </c:pt>
                      <c:pt idx="131">
                        <c:v>-23.981255582229743</c:v>
                      </c:pt>
                      <c:pt idx="132">
                        <c:v>-24.09478135220585</c:v>
                      </c:pt>
                      <c:pt idx="133">
                        <c:v>-24.208052358808398</c:v>
                      </c:pt>
                      <c:pt idx="134">
                        <c:v>-24.321071448605146</c:v>
                      </c:pt>
                      <c:pt idx="135">
                        <c:v>-24.433841415545835</c:v>
                      </c:pt>
                      <c:pt idx="136">
                        <c:v>-24.546365002313831</c:v>
                      </c:pt>
                      <c:pt idx="137">
                        <c:v>-24.65864490163354</c:v>
                      </c:pt>
                      <c:pt idx="138">
                        <c:v>-24.770683757535203</c:v>
                      </c:pt>
                      <c:pt idx="139">
                        <c:v>-24.882484166578863</c:v>
                      </c:pt>
                      <c:pt idx="140">
                        <c:v>-24.994048679039036</c:v>
                      </c:pt>
                      <c:pt idx="141">
                        <c:v>-25.105379800051633</c:v>
                      </c:pt>
                      <c:pt idx="142">
                        <c:v>-25.216479990724597</c:v>
                      </c:pt>
                      <c:pt idx="143">
                        <c:v>-25.327351669213702</c:v>
                      </c:pt>
                      <c:pt idx="144">
                        <c:v>-25.437997211764706</c:v>
                      </c:pt>
                      <c:pt idx="145">
                        <c:v>-25.548418953723271</c:v>
                      </c:pt>
                      <c:pt idx="146">
                        <c:v>-25.658619190513797</c:v>
                      </c:pt>
                      <c:pt idx="147">
                        <c:v>-25.768600178588343</c:v>
                      </c:pt>
                      <c:pt idx="148">
                        <c:v>-25.878364136346736</c:v>
                      </c:pt>
                      <c:pt idx="149">
                        <c:v>-25.987913245028935</c:v>
                      </c:pt>
                      <c:pt idx="150">
                        <c:v>-26.097249649580686</c:v>
                      </c:pt>
                      <c:pt idx="151">
                        <c:v>-26.206375459493401</c:v>
                      </c:pt>
                      <c:pt idx="152">
                        <c:v>-26.315292749619225</c:v>
                      </c:pt>
                      <c:pt idx="153">
                        <c:v>-26.424003560962149</c:v>
                      </c:pt>
                      <c:pt idx="154">
                        <c:v>-26.53250990144608</c:v>
                      </c:pt>
                      <c:pt idx="155">
                        <c:v>-26.640813746660616</c:v>
                      </c:pt>
                      <c:pt idx="156">
                        <c:v>-26.74891704058534</c:v>
                      </c:pt>
                      <c:pt idx="157">
                        <c:v>-26.856821696293423</c:v>
                      </c:pt>
                      <c:pt idx="158">
                        <c:v>-26.964529596635167</c:v>
                      </c:pt>
                      <c:pt idx="159">
                        <c:v>-27.072042594902268</c:v>
                      </c:pt>
                      <c:pt idx="160">
                        <c:v>-27.179362515473436</c:v>
                      </c:pt>
                      <c:pt idx="161">
                        <c:v>-27.28649115444194</c:v>
                      </c:pt>
                      <c:pt idx="162">
                        <c:v>-27.393430280225818</c:v>
                      </c:pt>
                      <c:pt idx="163">
                        <c:v>-27.500181634161216</c:v>
                      </c:pt>
                      <c:pt idx="164">
                        <c:v>-27.606746931079485</c:v>
                      </c:pt>
                      <c:pt idx="165">
                        <c:v>-27.713127859868582</c:v>
                      </c:pt>
                      <c:pt idx="166">
                        <c:v>-27.819326084019245</c:v>
                      </c:pt>
                      <c:pt idx="167">
                        <c:v>-27.92534324215648</c:v>
                      </c:pt>
                      <c:pt idx="168">
                        <c:v>-28.031180948556852</c:v>
                      </c:pt>
                      <c:pt idx="169">
                        <c:v>-28.136840793652013</c:v>
                      </c:pt>
                      <c:pt idx="170">
                        <c:v>-28.242324344518877</c:v>
                      </c:pt>
                      <c:pt idx="171">
                        <c:v>-28.347633145356994</c:v>
                      </c:pt>
                      <c:pt idx="172">
                        <c:v>-28.452768717953397</c:v>
                      </c:pt>
                      <c:pt idx="173">
                        <c:v>-28.557732562135392</c:v>
                      </c:pt>
                      <c:pt idx="174">
                        <c:v>-28.662526156211637</c:v>
                      </c:pt>
                      <c:pt idx="175">
                        <c:v>-28.767150957401917</c:v>
                      </c:pt>
                      <c:pt idx="176">
                        <c:v>-28.871608402255951</c:v>
                      </c:pt>
                      <c:pt idx="177">
                        <c:v>-28.975899907061535</c:v>
                      </c:pt>
                      <c:pt idx="178">
                        <c:v>-29.080026868242406</c:v>
                      </c:pt>
                      <c:pt idx="179">
                        <c:v>-29.183990662746108</c:v>
                      </c:pt>
                      <c:pt idx="180">
                        <c:v>-29.287792648422194</c:v>
                      </c:pt>
                      <c:pt idx="181">
                        <c:v>-29.391434164390979</c:v>
                      </c:pt>
                      <c:pt idx="182">
                        <c:v>-29.49491653140328</c:v>
                      </c:pt>
                      <c:pt idx="183">
                        <c:v>-29.598241052191238</c:v>
                      </c:pt>
                      <c:pt idx="184">
                        <c:v>-29.701409011810622</c:v>
                      </c:pt>
                      <c:pt idx="185">
                        <c:v>-29.804421677974794</c:v>
                      </c:pt>
                      <c:pt idx="186">
                        <c:v>-29.907280301380609</c:v>
                      </c:pt>
                      <c:pt idx="187">
                        <c:v>-30.0099861160265</c:v>
                      </c:pt>
                      <c:pt idx="188">
                        <c:v>-30.112540339522923</c:v>
                      </c:pt>
                      <c:pt idx="189">
                        <c:v>-30.214944173395448</c:v>
                      </c:pt>
                      <c:pt idx="190">
                        <c:v>-30.317198803380709</c:v>
                      </c:pt>
                      <c:pt idx="191">
                        <c:v>-30.419305399715306</c:v>
                      </c:pt>
                      <c:pt idx="192">
                        <c:v>-30.521265117418015</c:v>
                      </c:pt>
                      <c:pt idx="193">
                        <c:v>-30.623079096565419</c:v>
                      </c:pt>
                      <c:pt idx="194">
                        <c:v>-30.72474846256112</c:v>
                      </c:pt>
                      <c:pt idx="195">
                        <c:v>-30.826274326398789</c:v>
                      </c:pt>
                      <c:pt idx="196">
                        <c:v>-30.92765778491912</c:v>
                      </c:pt>
                      <c:pt idx="197">
                        <c:v>-31.028899921061043</c:v>
                      </c:pt>
                      <c:pt idx="198">
                        <c:v>-31.130001804107057</c:v>
                      </c:pt>
                      <c:pt idx="199">
                        <c:v>-31.230964489923203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BA-4B27-90CF-23E3B49F7A94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BA-4B27-90CF-23E3B49F7A94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BA-4B27-90CF-23E3B49F7A94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-100.07898549527246</c:v>
                      </c:pt>
                      <c:pt idx="1">
                        <c:v>-100.77204496041794</c:v>
                      </c:pt>
                      <c:pt idx="2">
                        <c:v>-101.31446553864188</c:v>
                      </c:pt>
                      <c:pt idx="3">
                        <c:v>-101.77890969112914</c:v>
                      </c:pt>
                      <c:pt idx="4">
                        <c:v>-102.19352261047095</c:v>
                      </c:pt>
                      <c:pt idx="5">
                        <c:v>-102.5727388649351</c:v>
                      </c:pt>
                      <c:pt idx="6">
                        <c:v>-102.9251332501741</c:v>
                      </c:pt>
                      <c:pt idx="7">
                        <c:v>-103.25629271991887</c:v>
                      </c:pt>
                      <c:pt idx="8">
                        <c:v>-103.57009798548458</c:v>
                      </c:pt>
                      <c:pt idx="9">
                        <c:v>-103.86937456915857</c:v>
                      </c:pt>
                      <c:pt idx="10">
                        <c:v>-104.15625551203533</c:v>
                      </c:pt>
                      <c:pt idx="11">
                        <c:v>-104.43239797486551</c:v>
                      </c:pt>
                      <c:pt idx="12">
                        <c:v>-104.69911981060022</c:v>
                      </c:pt>
                      <c:pt idx="13">
                        <c:v>-104.95748952934605</c:v>
                      </c:pt>
                      <c:pt idx="14">
                        <c:v>-105.20838773663472</c:v>
                      </c:pt>
                      <c:pt idx="15">
                        <c:v>-105.4525503783388</c:v>
                      </c:pt>
                      <c:pt idx="16">
                        <c:v>-105.69059997330854</c:v>
                      </c:pt>
                      <c:pt idx="17">
                        <c:v>-105.92306867641733</c:v>
                      </c:pt>
                      <c:pt idx="18">
                        <c:v>-106.15041564127755</c:v>
                      </c:pt>
                      <c:pt idx="19">
                        <c:v>-106.37304031552118</c:v>
                      </c:pt>
                      <c:pt idx="20">
                        <c:v>-106.59129277594802</c:v>
                      </c:pt>
                      <c:pt idx="21">
                        <c:v>-106.80548187129529</c:v>
                      </c:pt>
                      <c:pt idx="22">
                        <c:v>-107.01588171559121</c:v>
                      </c:pt>
                      <c:pt idx="23">
                        <c:v>-107.22273692294826</c:v>
                      </c:pt>
                      <c:pt idx="24">
                        <c:v>-107.42626686969179</c:v>
                      </c:pt>
                      <c:pt idx="25">
                        <c:v>-107.62666919599675</c:v>
                      </c:pt>
                      <c:pt idx="26">
                        <c:v>-107.82412270658546</c:v>
                      </c:pt>
                      <c:pt idx="27">
                        <c:v>-108.01878979192503</c:v>
                      </c:pt>
                      <c:pt idx="28">
                        <c:v>-108.21081846338487</c:v>
                      </c:pt>
                      <c:pt idx="29">
                        <c:v>-108.40034407501918</c:v>
                      </c:pt>
                      <c:pt idx="30">
                        <c:v>-108.58749078900789</c:v>
                      </c:pt>
                      <c:pt idx="31">
                        <c:v>-108.77237282991334</c:v>
                      </c:pt>
                      <c:pt idx="32">
                        <c:v>-108.95509556379972</c:v>
                      </c:pt>
                      <c:pt idx="33">
                        <c:v>-109.13575643120838</c:v>
                      </c:pt>
                      <c:pt idx="34">
                        <c:v>-109.31444575747551</c:v>
                      </c:pt>
                      <c:pt idx="35">
                        <c:v>-109.49124745954354</c:v>
                      </c:pt>
                      <c:pt idx="36">
                        <c:v>-109.66623966498148</c:v>
                      </c:pt>
                      <c:pt idx="37">
                        <c:v>-109.83949525618462</c:v>
                      </c:pt>
                      <c:pt idx="38">
                        <c:v>-110.01108235051883</c:v>
                      </c:pt>
                      <c:pt idx="39">
                        <c:v>-110.18106472539029</c:v>
                      </c:pt>
                      <c:pt idx="40">
                        <c:v>-110.34950219577037</c:v>
                      </c:pt>
                      <c:pt idx="41">
                        <c:v>-110.51645095051862</c:v>
                      </c:pt>
                      <c:pt idx="42">
                        <c:v>-110.68196385286949</c:v>
                      </c:pt>
                      <c:pt idx="43">
                        <c:v>-110.84609070964257</c:v>
                      </c:pt>
                      <c:pt idx="44">
                        <c:v>-111.00887851306527</c:v>
                      </c:pt>
                      <c:pt idx="45">
                        <c:v>-111.17037165853844</c:v>
                      </c:pt>
                      <c:pt idx="46">
                        <c:v>-111.3306121412067</c:v>
                      </c:pt>
                      <c:pt idx="47">
                        <c:v>-111.48963973380171</c:v>
                      </c:pt>
                      <c:pt idx="48">
                        <c:v>-111.64749214789407</c:v>
                      </c:pt>
                      <c:pt idx="49">
                        <c:v>-111.8042051804069</c:v>
                      </c:pt>
                      <c:pt idx="50">
                        <c:v>-111.95981284700522</c:v>
                      </c:pt>
                      <c:pt idx="51">
                        <c:v>-112.11434750376991</c:v>
                      </c:pt>
                      <c:pt idx="52">
                        <c:v>-112.26783995838963</c:v>
                      </c:pt>
                      <c:pt idx="53">
                        <c:v>-112.42031957195405</c:v>
                      </c:pt>
                      <c:pt idx="54">
                        <c:v>-112.57181435230123</c:v>
                      </c:pt>
                      <c:pt idx="55">
                        <c:v>-112.72235103976033</c:v>
                      </c:pt>
                      <c:pt idx="56">
                        <c:v>-112.87195518603323</c:v>
                      </c:pt>
                      <c:pt idx="57">
                        <c:v>-113.02065122687472</c:v>
                      </c:pt>
                      <c:pt idx="58">
                        <c:v>-113.1684625491564</c:v>
                      </c:pt>
                      <c:pt idx="59">
                        <c:v>-113.31541155283644</c:v>
                      </c:pt>
                      <c:pt idx="60">
                        <c:v>-113.46151970829963</c:v>
                      </c:pt>
                      <c:pt idx="61">
                        <c:v>-113.60680760948424</c:v>
                      </c:pt>
                      <c:pt idx="62">
                        <c:v>-113.75129502316736</c:v>
                      </c:pt>
                      <c:pt idx="63">
                        <c:v>-113.89500093474336</c:v>
                      </c:pt>
                      <c:pt idx="64">
                        <c:v>-114.03794359079546</c:v>
                      </c:pt>
                      <c:pt idx="65">
                        <c:v>-114.18014053873077</c:v>
                      </c:pt>
                      <c:pt idx="66">
                        <c:v>-114.32160866372283</c:v>
                      </c:pt>
                      <c:pt idx="67">
                        <c:v>-114.46236422318161</c:v>
                      </c:pt>
                      <c:pt idx="68">
                        <c:v>-114.60242287895062</c:v>
                      </c:pt>
                      <c:pt idx="69">
                        <c:v>-114.7417997274113</c:v>
                      </c:pt>
                      <c:pt idx="70">
                        <c:v>-114.8805093276588</c:v>
                      </c:pt>
                      <c:pt idx="71">
                        <c:v>-115.01856572789798</c:v>
                      </c:pt>
                      <c:pt idx="72">
                        <c:v>-115.15598249019521</c:v>
                      </c:pt>
                      <c:pt idx="73">
                        <c:v>-115.2927727137093</c:v>
                      </c:pt>
                      <c:pt idx="74">
                        <c:v>-115.42894905651428</c:v>
                      </c:pt>
                      <c:pt idx="75">
                        <c:v>-115.56452375611717</c:v>
                      </c:pt>
                      <c:pt idx="76">
                        <c:v>-115.69950864876449</c:v>
                      </c:pt>
                      <c:pt idx="77">
                        <c:v>-115.83391518762423</c:v>
                      </c:pt>
                      <c:pt idx="78">
                        <c:v>-115.96775445992182</c:v>
                      </c:pt>
                      <c:pt idx="79">
                        <c:v>-116.10103720310322</c:v>
                      </c:pt>
                      <c:pt idx="80">
                        <c:v>-116.23377382009144</c:v>
                      </c:pt>
                      <c:pt idx="81">
                        <c:v>-116.36597439369797</c:v>
                      </c:pt>
                      <c:pt idx="82">
                        <c:v>-116.49764870024575</c:v>
                      </c:pt>
                      <c:pt idx="83">
                        <c:v>-116.62880622245565</c:v>
                      </c:pt>
                      <c:pt idx="84">
                        <c:v>-116.75945616164452</c:v>
                      </c:pt>
                      <c:pt idx="85">
                        <c:v>-116.8896074492794</c:v>
                      </c:pt>
                      <c:pt idx="86">
                        <c:v>-117.01926875792877</c:v>
                      </c:pt>
                      <c:pt idx="87">
                        <c:v>-117.14844851164897</c:v>
                      </c:pt>
                      <c:pt idx="88">
                        <c:v>-117.27715489584088</c:v>
                      </c:pt>
                      <c:pt idx="89">
                        <c:v>-117.40539586660969</c:v>
                      </c:pt>
                      <c:pt idx="90">
                        <c:v>-117.53317915965789</c:v>
                      </c:pt>
                      <c:pt idx="91">
                        <c:v>-117.66051229873958</c:v>
                      </c:pt>
                      <c:pt idx="92">
                        <c:v>-117.78740260370245</c:v>
                      </c:pt>
                      <c:pt idx="93">
                        <c:v>-117.91385719814163</c:v>
                      </c:pt>
                      <c:pt idx="94">
                        <c:v>-118.03988301668807</c:v>
                      </c:pt>
                      <c:pt idx="95">
                        <c:v>-118.16548681195246</c:v>
                      </c:pt>
                      <c:pt idx="96">
                        <c:v>-118.29067516114466</c:v>
                      </c:pt>
                      <c:pt idx="97">
                        <c:v>-118.41545447238661</c:v>
                      </c:pt>
                      <c:pt idx="98">
                        <c:v>-118.53983099073628</c:v>
                      </c:pt>
                      <c:pt idx="99">
                        <c:v>-118.66381080393828</c:v>
                      </c:pt>
                      <c:pt idx="100">
                        <c:v>-118.78739984791645</c:v>
                      </c:pt>
                      <c:pt idx="101">
                        <c:v>-118.91060391202228</c:v>
                      </c:pt>
                      <c:pt idx="102">
                        <c:v>-119.03342864405235</c:v>
                      </c:pt>
                      <c:pt idx="103">
                        <c:v>-119.15587955504699</c:v>
                      </c:pt>
                      <c:pt idx="104">
                        <c:v>-119.27796202388194</c:v>
                      </c:pt>
                      <c:pt idx="105">
                        <c:v>-119.39968130166355</c:v>
                      </c:pt>
                      <c:pt idx="106">
                        <c:v>-119.52104251593786</c:v>
                      </c:pt>
                      <c:pt idx="107">
                        <c:v>-119.64205067472317</c:v>
                      </c:pt>
                      <c:pt idx="108">
                        <c:v>-119.76271067037467</c:v>
                      </c:pt>
                      <c:pt idx="109">
                        <c:v>-119.8830272832903</c:v>
                      </c:pt>
                      <c:pt idx="110">
                        <c:v>-120.00300518546493</c:v>
                      </c:pt>
                      <c:pt idx="111">
                        <c:v>-120.12264894390108</c:v>
                      </c:pt>
                      <c:pt idx="112">
                        <c:v>-120.24196302388268</c:v>
                      </c:pt>
                      <c:pt idx="113">
                        <c:v>-120.3609517921189</c:v>
                      </c:pt>
                      <c:pt idx="114">
                        <c:v>-120.47961951976403</c:v>
                      </c:pt>
                      <c:pt idx="115">
                        <c:v>-120.59797038531951</c:v>
                      </c:pt>
                      <c:pt idx="116">
                        <c:v>-120.71600847742361</c:v>
                      </c:pt>
                      <c:pt idx="117">
                        <c:v>-120.833737797534</c:v>
                      </c:pt>
                      <c:pt idx="118">
                        <c:v>-120.95116226250822</c:v>
                      </c:pt>
                      <c:pt idx="119">
                        <c:v>-121.06828570708691</c:v>
                      </c:pt>
                      <c:pt idx="120">
                        <c:v>-121.18511188628389</c:v>
                      </c:pt>
                      <c:pt idx="121">
                        <c:v>-121.30164447768769</c:v>
                      </c:pt>
                      <c:pt idx="122">
                        <c:v>-121.41788708367834</c:v>
                      </c:pt>
                      <c:pt idx="123">
                        <c:v>-121.53384323356309</c:v>
                      </c:pt>
                      <c:pt idx="124">
                        <c:v>-121.64951638563502</c:v>
                      </c:pt>
                      <c:pt idx="125">
                        <c:v>-121.7649099291574</c:v>
                      </c:pt>
                      <c:pt idx="126">
                        <c:v>-121.88002718627752</c:v>
                      </c:pt>
                      <c:pt idx="127">
                        <c:v>-121.99487141387279</c:v>
                      </c:pt>
                      <c:pt idx="128">
                        <c:v>-122.10944580533203</c:v>
                      </c:pt>
                      <c:pt idx="129">
                        <c:v>-122.22375349227471</c:v>
                      </c:pt>
                      <c:pt idx="130">
                        <c:v>-122.33779754621094</c:v>
                      </c:pt>
                      <c:pt idx="131">
                        <c:v>-122.45158098014431</c:v>
                      </c:pt>
                      <c:pt idx="132">
                        <c:v>-122.56510675012041</c:v>
                      </c:pt>
                      <c:pt idx="133">
                        <c:v>-122.67837775672297</c:v>
                      </c:pt>
                      <c:pt idx="134">
                        <c:v>-122.79139684651972</c:v>
                      </c:pt>
                      <c:pt idx="135">
                        <c:v>-122.90416681346039</c:v>
                      </c:pt>
                      <c:pt idx="136">
                        <c:v>-123.0166904002284</c:v>
                      </c:pt>
                      <c:pt idx="137">
                        <c:v>-123.1289702995481</c:v>
                      </c:pt>
                      <c:pt idx="138">
                        <c:v>-123.24100915544977</c:v>
                      </c:pt>
                      <c:pt idx="139">
                        <c:v>-123.35280956449343</c:v>
                      </c:pt>
                      <c:pt idx="140">
                        <c:v>-123.4643740769536</c:v>
                      </c:pt>
                      <c:pt idx="141">
                        <c:v>-123.5757051979662</c:v>
                      </c:pt>
                      <c:pt idx="142">
                        <c:v>-123.68680538863916</c:v>
                      </c:pt>
                      <c:pt idx="143">
                        <c:v>-123.79767706712826</c:v>
                      </c:pt>
                      <c:pt idx="144">
                        <c:v>-123.90832260967927</c:v>
                      </c:pt>
                      <c:pt idx="145">
                        <c:v>-124.01874435163784</c:v>
                      </c:pt>
                      <c:pt idx="146">
                        <c:v>-124.12894458842837</c:v>
                      </c:pt>
                      <c:pt idx="147">
                        <c:v>-124.23892557650291</c:v>
                      </c:pt>
                      <c:pt idx="148">
                        <c:v>-124.3486895342613</c:v>
                      </c:pt>
                      <c:pt idx="149">
                        <c:v>-124.4582386429435</c:v>
                      </c:pt>
                      <c:pt idx="150">
                        <c:v>-124.56757504749525</c:v>
                      </c:pt>
                      <c:pt idx="151">
                        <c:v>-124.67670085740797</c:v>
                      </c:pt>
                      <c:pt idx="152">
                        <c:v>-124.7856181475338</c:v>
                      </c:pt>
                      <c:pt idx="153">
                        <c:v>-124.89432895887671</c:v>
                      </c:pt>
                      <c:pt idx="154">
                        <c:v>-125.00283529936064</c:v>
                      </c:pt>
                      <c:pt idx="155">
                        <c:v>-125.11113914457518</c:v>
                      </c:pt>
                      <c:pt idx="156">
                        <c:v>-175.21924243849992</c:v>
                      </c:pt>
                      <c:pt idx="157">
                        <c:v>-175.32714709420799</c:v>
                      </c:pt>
                      <c:pt idx="158">
                        <c:v>-175.43485499454974</c:v>
                      </c:pt>
                      <c:pt idx="159">
                        <c:v>-175.54236799281682</c:v>
                      </c:pt>
                      <c:pt idx="160">
                        <c:v>-175.64968791338799</c:v>
                      </c:pt>
                      <c:pt idx="161">
                        <c:v>-175.7568165523565</c:v>
                      </c:pt>
                      <c:pt idx="162">
                        <c:v>-175.86375567814039</c:v>
                      </c:pt>
                      <c:pt idx="163">
                        <c:v>-175.97050703207577</c:v>
                      </c:pt>
                      <c:pt idx="164">
                        <c:v>-176.07707232899406</c:v>
                      </c:pt>
                      <c:pt idx="165">
                        <c:v>-176.18345325778316</c:v>
                      </c:pt>
                      <c:pt idx="166">
                        <c:v>-176.28965148193382</c:v>
                      </c:pt>
                      <c:pt idx="167">
                        <c:v>-176.39566864007105</c:v>
                      </c:pt>
                      <c:pt idx="168">
                        <c:v>-176.50150634647142</c:v>
                      </c:pt>
                      <c:pt idx="169">
                        <c:v>-176.60716619156659</c:v>
                      </c:pt>
                      <c:pt idx="170">
                        <c:v>-176.71264974243343</c:v>
                      </c:pt>
                      <c:pt idx="171">
                        <c:v>-176.81795854327157</c:v>
                      </c:pt>
                      <c:pt idx="172">
                        <c:v>-176.92309411586797</c:v>
                      </c:pt>
                      <c:pt idx="173">
                        <c:v>-177.02805796004995</c:v>
                      </c:pt>
                      <c:pt idx="174">
                        <c:v>-177.1328515541262</c:v>
                      </c:pt>
                      <c:pt idx="175">
                        <c:v>-177.23747635531649</c:v>
                      </c:pt>
                      <c:pt idx="176">
                        <c:v>-177.34193380017052</c:v>
                      </c:pt>
                      <c:pt idx="177">
                        <c:v>-177.44622530497611</c:v>
                      </c:pt>
                      <c:pt idx="178">
                        <c:v>-177.55035226615698</c:v>
                      </c:pt>
                      <c:pt idx="179">
                        <c:v>-177.65431606066068</c:v>
                      </c:pt>
                      <c:pt idx="180">
                        <c:v>-177.75811804633676</c:v>
                      </c:pt>
                      <c:pt idx="181">
                        <c:v>-177.86175956230554</c:v>
                      </c:pt>
                      <c:pt idx="182">
                        <c:v>-177.96524192931784</c:v>
                      </c:pt>
                      <c:pt idx="183">
                        <c:v>-178.06856645010581</c:v>
                      </c:pt>
                      <c:pt idx="184">
                        <c:v>-178.17173440972519</c:v>
                      </c:pt>
                      <c:pt idx="185">
                        <c:v>-178.27474707588937</c:v>
                      </c:pt>
                      <c:pt idx="186">
                        <c:v>-178.37760569929517</c:v>
                      </c:pt>
                      <c:pt idx="187">
                        <c:v>-178.48031151394107</c:v>
                      </c:pt>
                      <c:pt idx="188">
                        <c:v>-178.58286573743749</c:v>
                      </c:pt>
                      <c:pt idx="189">
                        <c:v>-178.68526957131002</c:v>
                      </c:pt>
                      <c:pt idx="190">
                        <c:v>-178.78752420129527</c:v>
                      </c:pt>
                      <c:pt idx="191">
                        <c:v>-178.88963079762988</c:v>
                      </c:pt>
                      <c:pt idx="192">
                        <c:v>-178.99159051533258</c:v>
                      </c:pt>
                      <c:pt idx="193">
                        <c:v>-179.09340449447998</c:v>
                      </c:pt>
                      <c:pt idx="194">
                        <c:v>-179.19507386047567</c:v>
                      </c:pt>
                      <c:pt idx="195">
                        <c:v>-179.29659972431335</c:v>
                      </c:pt>
                      <c:pt idx="196">
                        <c:v>-179.39798318283368</c:v>
                      </c:pt>
                      <c:pt idx="197">
                        <c:v>-179.49922531897562</c:v>
                      </c:pt>
                      <c:pt idx="198">
                        <c:v>-179.60032720202162</c:v>
                      </c:pt>
                      <c:pt idx="199">
                        <c:v>-179.70128988783776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BA-4B27-90CF-23E3B49F7A94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BA-4B27-90CF-23E3B49F7A94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-24.219341161639086</c:v>
                      </c:pt>
                      <c:pt idx="1">
                        <c:v>-23.419886033428877</c:v>
                      </c:pt>
                      <c:pt idx="2">
                        <c:v>-22.744967311406846</c:v>
                      </c:pt>
                      <c:pt idx="3">
                        <c:v>-22.160964207272652</c:v>
                      </c:pt>
                      <c:pt idx="4">
                        <c:v>-21.646265475299913</c:v>
                      </c:pt>
                      <c:pt idx="5">
                        <c:v>-21.186153432294272</c:v>
                      </c:pt>
                      <c:pt idx="6">
                        <c:v>-20.770151842911172</c:v>
                      </c:pt>
                      <c:pt idx="7">
                        <c:v>-20.390538042661689</c:v>
                      </c:pt>
                      <c:pt idx="8">
                        <c:v>-20.04145520125434</c:v>
                      </c:pt>
                      <c:pt idx="9">
                        <c:v>-19.718355805755305</c:v>
                      </c:pt>
                      <c:pt idx="10">
                        <c:v>-19.417638310572329</c:v>
                      </c:pt>
                      <c:pt idx="11">
                        <c:v>-19.13640169325252</c:v>
                      </c:pt>
                      <c:pt idx="12">
                        <c:v>-18.872274788946303</c:v>
                      </c:pt>
                      <c:pt idx="13">
                        <c:v>-18.62329462763245</c:v>
                      </c:pt>
                      <c:pt idx="14">
                        <c:v>-18.387817803089842</c:v>
                      </c:pt>
                      <c:pt idx="15">
                        <c:v>-18.164454663811387</c:v>
                      </c:pt>
                      <c:pt idx="16">
                        <c:v>-17.952019618091455</c:v>
                      </c:pt>
                      <c:pt idx="17">
                        <c:v>-17.749493038619516</c:v>
                      </c:pt>
                      <c:pt idx="18">
                        <c:v>-17.555991661986305</c:v>
                      </c:pt>
                      <c:pt idx="19">
                        <c:v>-17.370745306681684</c:v>
                      </c:pt>
                      <c:pt idx="20">
                        <c:v>-17.193078357148828</c:v>
                      </c:pt>
                      <c:pt idx="21">
                        <c:v>-17.022394889008666</c:v>
                      </c:pt>
                      <c:pt idx="22">
                        <c:v>-16.858166608626227</c:v>
                      </c:pt>
                      <c:pt idx="23">
                        <c:v>-16.699922991272413</c:v>
                      </c:pt>
                      <c:pt idx="24">
                        <c:v>-16.547243153792227</c:v>
                      </c:pt>
                      <c:pt idx="25">
                        <c:v>-16.399749108106025</c:v>
                      </c:pt>
                      <c:pt idx="26">
                        <c:v>-16.257100123246889</c:v>
                      </c:pt>
                      <c:pt idx="27">
                        <c:v>-16.118987984294836</c:v>
                      </c:pt>
                      <c:pt idx="28">
                        <c:v>-15.985132982258305</c:v>
                      </c:pt>
                      <c:pt idx="29">
                        <c:v>-15.855280503706977</c:v>
                      </c:pt>
                      <c:pt idx="30">
                        <c:v>-15.729198115636407</c:v>
                      </c:pt>
                      <c:pt idx="31">
                        <c:v>-15.606673061697375</c:v>
                      </c:pt>
                      <c:pt idx="32">
                        <c:v>-15.487510102038627</c:v>
                      </c:pt>
                      <c:pt idx="33">
                        <c:v>-15.371529641683264</c:v>
                      </c:pt>
                      <c:pt idx="34">
                        <c:v>-15.258566102391946</c:v>
                      </c:pt>
                      <c:pt idx="35">
                        <c:v>-15.148466500963478</c:v>
                      </c:pt>
                      <c:pt idx="36">
                        <c:v>-15.041089203338124</c:v>
                      </c:pt>
                      <c:pt idx="37">
                        <c:v>-14.936302829044958</c:v>
                      </c:pt>
                      <c:pt idx="38">
                        <c:v>-14.833985284734661</c:v>
                      </c:pt>
                      <c:pt idx="39">
                        <c:v>-14.734022908965478</c:v>
                      </c:pt>
                      <c:pt idx="40">
                        <c:v>-14.636309713219589</c:v>
                      </c:pt>
                      <c:pt idx="41">
                        <c:v>-14.540746706441572</c:v>
                      </c:pt>
                      <c:pt idx="42">
                        <c:v>-14.447241292306822</c:v>
                      </c:pt>
                      <c:pt idx="43">
                        <c:v>-14.355706730020168</c:v>
                      </c:pt>
                      <c:pt idx="44">
                        <c:v>-14.266061650774793</c:v>
                      </c:pt>
                      <c:pt idx="45">
                        <c:v>-14.178229623115913</c:v>
                      </c:pt>
                      <c:pt idx="46">
                        <c:v>-14.092138761391208</c:v>
                      </c:pt>
                      <c:pt idx="47">
                        <c:v>-14.007721372262038</c:v>
                      </c:pt>
                      <c:pt idx="48">
                        <c:v>-13.92491363492022</c:v>
                      </c:pt>
                      <c:pt idx="49">
                        <c:v>-13.843655311225845</c:v>
                      </c:pt>
                      <c:pt idx="50">
                        <c:v>-13.763889482468185</c:v>
                      </c:pt>
                      <c:pt idx="51">
                        <c:v>-13.685562309868279</c:v>
                      </c:pt>
                      <c:pt idx="52">
                        <c:v>-13.608622816299063</c:v>
                      </c:pt>
                      <c:pt idx="53">
                        <c:v>-13.533022687006655</c:v>
                      </c:pt>
                      <c:pt idx="54">
                        <c:v>-13.458716087381875</c:v>
                      </c:pt>
                      <c:pt idx="55">
                        <c:v>-13.385659496060802</c:v>
                      </c:pt>
                      <c:pt idx="56">
                        <c:v>-13.313811551832561</c:v>
                      </c:pt>
                      <c:pt idx="57">
                        <c:v>-13.243132913005988</c:v>
                      </c:pt>
                      <c:pt idx="58">
                        <c:v>-13.173586128037847</c:v>
                      </c:pt>
                      <c:pt idx="59">
                        <c:v>-13.105135516357523</c:v>
                      </c:pt>
                      <c:pt idx="60">
                        <c:v>-13.03774705843878</c:v>
                      </c:pt>
                      <c:pt idx="61">
                        <c:v>-12.97138829427071</c:v>
                      </c:pt>
                      <c:pt idx="62">
                        <c:v>-12.906028229469321</c:v>
                      </c:pt>
                      <c:pt idx="63">
                        <c:v>-12.841637248350064</c:v>
                      </c:pt>
                      <c:pt idx="64">
                        <c:v>-12.778187033350925</c:v>
                      </c:pt>
                      <c:pt idx="65">
                        <c:v>-12.715650490257456</c:v>
                      </c:pt>
                      <c:pt idx="66">
                        <c:v>-12.654001678735424</c:v>
                      </c:pt>
                      <c:pt idx="67">
                        <c:v>-12.593215747725452</c:v>
                      </c:pt>
                      <c:pt idx="68">
                        <c:v>-12.533268875296768</c:v>
                      </c:pt>
                      <c:pt idx="69">
                        <c:v>-12.474138212595909</c:v>
                      </c:pt>
                      <c:pt idx="70">
                        <c:v>-12.415801831560207</c:v>
                      </c:pt>
                      <c:pt idx="71">
                        <c:v>-12.358238676096693</c:v>
                      </c:pt>
                      <c:pt idx="72">
                        <c:v>-12.301428516454404</c:v>
                      </c:pt>
                      <c:pt idx="73">
                        <c:v>-12.245351906542608</c:v>
                      </c:pt>
                      <c:pt idx="74">
                        <c:v>-12.189990143969695</c:v>
                      </c:pt>
                      <c:pt idx="75">
                        <c:v>-12.135325232597179</c:v>
                      </c:pt>
                      <c:pt idx="76">
                        <c:v>-12.081339847421255</c:v>
                      </c:pt>
                      <c:pt idx="77">
                        <c:v>-12.028017301610411</c:v>
                      </c:pt>
                      <c:pt idx="78">
                        <c:v>-11.975341515542159</c:v>
                      </c:pt>
                      <c:pt idx="79">
                        <c:v>-11.923296987695164</c:v>
                      </c:pt>
                      <c:pt idx="80">
                        <c:v>-11.871868767264942</c:v>
                      </c:pt>
                      <c:pt idx="81">
                        <c:v>-11.821042428382047</c:v>
                      </c:pt>
                      <c:pt idx="82">
                        <c:v>-11.770804045821544</c:v>
                      </c:pt>
                      <c:pt idx="83">
                        <c:v>-11.721140172101443</c:v>
                      </c:pt>
                      <c:pt idx="84">
                        <c:v>-11.672037815875873</c:v>
                      </c:pt>
                      <c:pt idx="85">
                        <c:v>-11.623484421536077</c:v>
                      </c:pt>
                      <c:pt idx="86">
                        <c:v>-11.575467849939194</c:v>
                      </c:pt>
                      <c:pt idx="87">
                        <c:v>-11.527976360190767</c:v>
                      </c:pt>
                      <c:pt idx="88">
                        <c:v>-11.480998592412558</c:v>
                      </c:pt>
                      <c:pt idx="89">
                        <c:v>-11.434523551432523</c:v>
                      </c:pt>
                      <c:pt idx="90">
                        <c:v>-11.388540591338188</c:v>
                      </c:pt>
                      <c:pt idx="91">
                        <c:v>-11.343039400839295</c:v>
                      </c:pt>
                      <c:pt idx="92">
                        <c:v>-11.2980099893893</c:v>
                      </c:pt>
                      <c:pt idx="93">
                        <c:v>-11.253442674018988</c:v>
                      </c:pt>
                      <c:pt idx="94">
                        <c:v>-11.209328066838873</c:v>
                      </c:pt>
                      <c:pt idx="95">
                        <c:v>-11.16565706316991</c:v>
                      </c:pt>
                      <c:pt idx="96">
                        <c:v>-11.122420830265119</c:v>
                      </c:pt>
                      <c:pt idx="97">
                        <c:v>-11.079610796587085</c:v>
                      </c:pt>
                      <c:pt idx="98">
                        <c:v>-11.037218641608789</c:v>
                      </c:pt>
                      <c:pt idx="99">
                        <c:v>-10.995236286107433</c:v>
                      </c:pt>
                      <c:pt idx="100">
                        <c:v>-10.953655882922941</c:v>
                      </c:pt>
                      <c:pt idx="101">
                        <c:v>-10.912469808154663</c:v>
                      </c:pt>
                      <c:pt idx="102">
                        <c:v>-10.871670652771622</c:v>
                      </c:pt>
                      <c:pt idx="103">
                        <c:v>-10.831251214613168</c:v>
                      </c:pt>
                      <c:pt idx="104">
                        <c:v>-10.791204490758473</c:v>
                      </c:pt>
                      <c:pt idx="105">
                        <c:v>-10.75152367024463</c:v>
                      </c:pt>
                      <c:pt idx="106">
                        <c:v>-10.71220212711442</c:v>
                      </c:pt>
                      <c:pt idx="107">
                        <c:v>-10.673233413775996</c:v>
                      </c:pt>
                      <c:pt idx="108">
                        <c:v>-10.634611254657829</c:v>
                      </c:pt>
                      <c:pt idx="109">
                        <c:v>-10.596329540143348</c:v>
                      </c:pt>
                      <c:pt idx="110">
                        <c:v>-10.558382320770532</c:v>
                      </c:pt>
                      <c:pt idx="111">
                        <c:v>-10.520763801682737</c:v>
                      </c:pt>
                      <c:pt idx="112">
                        <c:v>-10.483468337317836</c:v>
                      </c:pt>
                      <c:pt idx="113">
                        <c:v>-10.446490426323402</c:v>
                      </c:pt>
                      <c:pt idx="114">
                        <c:v>-10.409824706686596</c:v>
                      </c:pt>
                      <c:pt idx="115">
                        <c:v>-10.373465951067891</c:v>
                      </c:pt>
                      <c:pt idx="116">
                        <c:v>-10.337409062328508</c:v>
                      </c:pt>
                      <c:pt idx="117">
                        <c:v>-10.301649069242025</c:v>
                      </c:pt>
                      <c:pt idx="118">
                        <c:v>-10.266181122381074</c:v>
                      </c:pt>
                      <c:pt idx="119">
                        <c:v>-10.23100049017062</c:v>
                      </c:pt>
                      <c:pt idx="120">
                        <c:v>-10.196102555099911</c:v>
                      </c:pt>
                      <c:pt idx="121">
                        <c:v>-10.161482810085282</c:v>
                      </c:pt>
                      <c:pt idx="122">
                        <c:v>-10.1271368549769</c:v>
                      </c:pt>
                      <c:pt idx="123">
                        <c:v>-10.093060393202485</c:v>
                      </c:pt>
                      <c:pt idx="124">
                        <c:v>-10.059249228541729</c:v>
                      </c:pt>
                      <c:pt idx="125">
                        <c:v>-10.02569926202529</c:v>
                      </c:pt>
                      <c:pt idx="126">
                        <c:v>-9.9924064889526285</c:v>
                      </c:pt>
                      <c:pt idx="127">
                        <c:v>-9.9593669960233306</c:v>
                      </c:pt>
                      <c:pt idx="128">
                        <c:v>-9.9265769585766925</c:v>
                      </c:pt>
                      <c:pt idx="129">
                        <c:v>-9.8940326379347496</c:v>
                      </c:pt>
                      <c:pt idx="130">
                        <c:v>-9.8617303788441006</c:v>
                      </c:pt>
                      <c:pt idx="131">
                        <c:v>-9.8296666070121965</c:v>
                      </c:pt>
                      <c:pt idx="132">
                        <c:v>-9.7978378267339004</c:v>
                      </c:pt>
                      <c:pt idx="133">
                        <c:v>-9.7662406186043764</c:v>
                      </c:pt>
                      <c:pt idx="134">
                        <c:v>-9.7348716373145923</c:v>
                      </c:pt>
                      <c:pt idx="135">
                        <c:v>-9.7037276095258704</c:v>
                      </c:pt>
                      <c:pt idx="136">
                        <c:v>-9.6728053318201077</c:v>
                      </c:pt>
                      <c:pt idx="137">
                        <c:v>-9.6421016687224306</c:v>
                      </c:pt>
                      <c:pt idx="138">
                        <c:v>-9.6116135507932974</c:v>
                      </c:pt>
                      <c:pt idx="139">
                        <c:v>-9.5813379727870736</c:v>
                      </c:pt>
                      <c:pt idx="140">
                        <c:v>-9.5512719918743603</c:v>
                      </c:pt>
                      <c:pt idx="141">
                        <c:v>-9.5214127259254333</c:v>
                      </c:pt>
                      <c:pt idx="142">
                        <c:v>-9.4917573518522875</c:v>
                      </c:pt>
                      <c:pt idx="143">
                        <c:v>-9.4623031040069101</c:v>
                      </c:pt>
                      <c:pt idx="144">
                        <c:v>-9.4330472726334964</c:v>
                      </c:pt>
                      <c:pt idx="145">
                        <c:v>-9.4039872023724609</c:v>
                      </c:pt>
                      <c:pt idx="146">
                        <c:v>-9.3751202908141593</c:v>
                      </c:pt>
                      <c:pt idx="147">
                        <c:v>-9.3464439871003488</c:v>
                      </c:pt>
                      <c:pt idx="148">
                        <c:v>-9.317955790571558</c:v>
                      </c:pt>
                      <c:pt idx="149">
                        <c:v>-9.2896532494584836</c:v>
                      </c:pt>
                      <c:pt idx="150">
                        <c:v>-9.2615339596157806</c:v>
                      </c:pt>
                      <c:pt idx="151">
                        <c:v>-9.233595563296582</c:v>
                      </c:pt>
                      <c:pt idx="152">
                        <c:v>-9.2058357479661694</c:v>
                      </c:pt>
                      <c:pt idx="153">
                        <c:v>-9.1782522451533382</c:v>
                      </c:pt>
                      <c:pt idx="154">
                        <c:v>-9.1508428293379787</c:v>
                      </c:pt>
                      <c:pt idx="155">
                        <c:v>-9.1236053168735882</c:v>
                      </c:pt>
                      <c:pt idx="156">
                        <c:v>-9.0965375649433184</c:v>
                      </c:pt>
                      <c:pt idx="157">
                        <c:v>-9.0696374705483702</c:v>
                      </c:pt>
                      <c:pt idx="158">
                        <c:v>-9.0429029695275283</c:v>
                      </c:pt>
                      <c:pt idx="159">
                        <c:v>-9.0163320356066912</c:v>
                      </c:pt>
                      <c:pt idx="160">
                        <c:v>-8.989922679477294</c:v>
                      </c:pt>
                      <c:pt idx="161">
                        <c:v>-8.9636729479025909</c:v>
                      </c:pt>
                      <c:pt idx="162">
                        <c:v>-8.9375809228507599</c:v>
                      </c:pt>
                      <c:pt idx="163">
                        <c:v>-8.9116447206539462</c:v>
                      </c:pt>
                      <c:pt idx="164">
                        <c:v>-8.8858624911921922</c:v>
                      </c:pt>
                      <c:pt idx="165">
                        <c:v>-8.8602324171015354</c:v>
                      </c:pt>
                      <c:pt idx="166">
                        <c:v>-8.8347527130052654</c:v>
                      </c:pt>
                      <c:pt idx="167">
                        <c:v>-8.8094216247676265</c:v>
                      </c:pt>
                      <c:pt idx="168">
                        <c:v>-8.7842374287691758</c:v>
                      </c:pt>
                      <c:pt idx="169">
                        <c:v>-8.7591984312030018</c:v>
                      </c:pt>
                      <c:pt idx="170">
                        <c:v>-8.7343029673911321</c:v>
                      </c:pt>
                      <c:pt idx="171">
                        <c:v>-8.7095494011204213</c:v>
                      </c:pt>
                      <c:pt idx="172">
                        <c:v>-8.6849361239972538</c:v>
                      </c:pt>
                      <c:pt idx="173">
                        <c:v>-8.6604615548204311</c:v>
                      </c:pt>
                      <c:pt idx="174">
                        <c:v>-8.6361241389716294</c:v>
                      </c:pt>
                      <c:pt idx="175">
                        <c:v>-8.6119223478228584</c:v>
                      </c:pt>
                      <c:pt idx="176">
                        <c:v>-8.5878546781602907</c:v>
                      </c:pt>
                      <c:pt idx="177">
                        <c:v>-8.5639196516240439</c:v>
                      </c:pt>
                      <c:pt idx="178">
                        <c:v>-8.540115814163233</c:v>
                      </c:pt>
                      <c:pt idx="179">
                        <c:v>-8.5164417355059516</c:v>
                      </c:pt>
                      <c:pt idx="180">
                        <c:v>-8.4928960086435588</c:v>
                      </c:pt>
                      <c:pt idx="181">
                        <c:v>-8.4694772493289125</c:v>
                      </c:pt>
                      <c:pt idx="182">
                        <c:v>-8.4461840955880376</c:v>
                      </c:pt>
                      <c:pt idx="183">
                        <c:v>-8.4230152072448377</c:v>
                      </c:pt>
                      <c:pt idx="184">
                        <c:v>-8.39996926545839</c:v>
                      </c:pt>
                      <c:pt idx="185">
                        <c:v>-8.3770449722724791</c:v>
                      </c:pt>
                      <c:pt idx="186">
                        <c:v>-8.3542410501769488</c:v>
                      </c:pt>
                      <c:pt idx="187">
                        <c:v>-8.3315562416805093</c:v>
                      </c:pt>
                      <c:pt idx="188">
                        <c:v>-8.3089893088946347</c:v>
                      </c:pt>
                      <c:pt idx="189">
                        <c:v>-8.2865390331282267</c:v>
                      </c:pt>
                      <c:pt idx="190">
                        <c:v>-8.264204214492711</c:v>
                      </c:pt>
                      <c:pt idx="191">
                        <c:v>-8.2419836715172057</c:v>
                      </c:pt>
                      <c:pt idx="192">
                        <c:v>-8.2198762407735106</c:v>
                      </c:pt>
                      <c:pt idx="193">
                        <c:v>-8.1978807765105888</c:v>
                      </c:pt>
                      <c:pt idx="194">
                        <c:v>-8.1759961502982428</c:v>
                      </c:pt>
                      <c:pt idx="195">
                        <c:v>-8.1542212506797522</c:v>
                      </c:pt>
                      <c:pt idx="196">
                        <c:v>-8.1325549828331418</c:v>
                      </c:pt>
                      <c:pt idx="197">
                        <c:v>-8.110996268240882</c:v>
                      </c:pt>
                      <c:pt idx="198">
                        <c:v>-8.0895440443677451</c:v>
                      </c:pt>
                      <c:pt idx="199">
                        <c:v>-8.0681972643465478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BA-4B27-90CF-23E3B49F7A94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4BA-4B27-90CF-23E3B49F7A94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-122.68966655955364</c:v>
                      </c:pt>
                      <c:pt idx="1">
                        <c:v>-121.89021143134345</c:v>
                      </c:pt>
                      <c:pt idx="2">
                        <c:v>-121.2152927093214</c:v>
                      </c:pt>
                      <c:pt idx="3">
                        <c:v>-120.63128960518722</c:v>
                      </c:pt>
                      <c:pt idx="4">
                        <c:v>-120.11659087321448</c:v>
                      </c:pt>
                      <c:pt idx="5">
                        <c:v>-119.65647883020884</c:v>
                      </c:pt>
                      <c:pt idx="6">
                        <c:v>-119.24047724082574</c:v>
                      </c:pt>
                      <c:pt idx="7">
                        <c:v>-118.86086344057625</c:v>
                      </c:pt>
                      <c:pt idx="8">
                        <c:v>-118.5117805991689</c:v>
                      </c:pt>
                      <c:pt idx="9">
                        <c:v>-118.18868120366987</c:v>
                      </c:pt>
                      <c:pt idx="10">
                        <c:v>-117.88796370848689</c:v>
                      </c:pt>
                      <c:pt idx="11">
                        <c:v>-117.60672709116709</c:v>
                      </c:pt>
                      <c:pt idx="12">
                        <c:v>-117.34260018686086</c:v>
                      </c:pt>
                      <c:pt idx="13">
                        <c:v>-117.09362002554701</c:v>
                      </c:pt>
                      <c:pt idx="14">
                        <c:v>-116.85814320100441</c:v>
                      </c:pt>
                      <c:pt idx="15">
                        <c:v>-116.63478006172595</c:v>
                      </c:pt>
                      <c:pt idx="16">
                        <c:v>-116.42234501600602</c:v>
                      </c:pt>
                      <c:pt idx="17">
                        <c:v>-116.21981843653408</c:v>
                      </c:pt>
                      <c:pt idx="18">
                        <c:v>-116.02631705990086</c:v>
                      </c:pt>
                      <c:pt idx="19">
                        <c:v>-115.84107070459625</c:v>
                      </c:pt>
                      <c:pt idx="20">
                        <c:v>-115.6634037550634</c:v>
                      </c:pt>
                      <c:pt idx="21">
                        <c:v>-115.49272028692323</c:v>
                      </c:pt>
                      <c:pt idx="22">
                        <c:v>-115.32849200654078</c:v>
                      </c:pt>
                      <c:pt idx="23">
                        <c:v>-115.17024838918698</c:v>
                      </c:pt>
                      <c:pt idx="24">
                        <c:v>-115.01756855170679</c:v>
                      </c:pt>
                      <c:pt idx="25">
                        <c:v>-114.87007450602059</c:v>
                      </c:pt>
                      <c:pt idx="26">
                        <c:v>-114.72742552116145</c:v>
                      </c:pt>
                      <c:pt idx="27">
                        <c:v>-114.5893133822094</c:v>
                      </c:pt>
                      <c:pt idx="28">
                        <c:v>-114.45545838017287</c:v>
                      </c:pt>
                      <c:pt idx="29">
                        <c:v>-114.32560590162154</c:v>
                      </c:pt>
                      <c:pt idx="30">
                        <c:v>-114.19952351355097</c:v>
                      </c:pt>
                      <c:pt idx="31">
                        <c:v>-114.07699845961194</c:v>
                      </c:pt>
                      <c:pt idx="32">
                        <c:v>-113.95783549995319</c:v>
                      </c:pt>
                      <c:pt idx="33">
                        <c:v>-113.84185503959783</c:v>
                      </c:pt>
                      <c:pt idx="34">
                        <c:v>-113.7288915003065</c:v>
                      </c:pt>
                      <c:pt idx="35">
                        <c:v>-113.61879189887804</c:v>
                      </c:pt>
                      <c:pt idx="36">
                        <c:v>-113.51141460125268</c:v>
                      </c:pt>
                      <c:pt idx="37">
                        <c:v>-113.40662822695953</c:v>
                      </c:pt>
                      <c:pt idx="38">
                        <c:v>-113.30431068264923</c:v>
                      </c:pt>
                      <c:pt idx="39">
                        <c:v>-113.20434830688004</c:v>
                      </c:pt>
                      <c:pt idx="40">
                        <c:v>-113.10663511113415</c:v>
                      </c:pt>
                      <c:pt idx="41">
                        <c:v>-113.01107210435613</c:v>
                      </c:pt>
                      <c:pt idx="42">
                        <c:v>-112.91756669022139</c:v>
                      </c:pt>
                      <c:pt idx="43">
                        <c:v>-112.82603212793474</c:v>
                      </c:pt>
                      <c:pt idx="44">
                        <c:v>-112.73638704868935</c:v>
                      </c:pt>
                      <c:pt idx="45">
                        <c:v>-112.64855502103048</c:v>
                      </c:pt>
                      <c:pt idx="46">
                        <c:v>-112.56246415930578</c:v>
                      </c:pt>
                      <c:pt idx="47">
                        <c:v>-112.4780467701766</c:v>
                      </c:pt>
                      <c:pt idx="48">
                        <c:v>-112.39523903283478</c:v>
                      </c:pt>
                      <c:pt idx="49">
                        <c:v>-112.31398070914041</c:v>
                      </c:pt>
                      <c:pt idx="50">
                        <c:v>-112.23421488038275</c:v>
                      </c:pt>
                      <c:pt idx="51">
                        <c:v>-112.15588770778284</c:v>
                      </c:pt>
                      <c:pt idx="52">
                        <c:v>-112.07894821421363</c:v>
                      </c:pt>
                      <c:pt idx="53">
                        <c:v>-112.00334808492121</c:v>
                      </c:pt>
                      <c:pt idx="54">
                        <c:v>-111.92904148529644</c:v>
                      </c:pt>
                      <c:pt idx="55">
                        <c:v>-111.85598489397536</c:v>
                      </c:pt>
                      <c:pt idx="56">
                        <c:v>-111.78413694974712</c:v>
                      </c:pt>
                      <c:pt idx="57">
                        <c:v>-111.71345831092056</c:v>
                      </c:pt>
                      <c:pt idx="58">
                        <c:v>-111.6439115259524</c:v>
                      </c:pt>
                      <c:pt idx="59">
                        <c:v>-111.57546091427209</c:v>
                      </c:pt>
                      <c:pt idx="60">
                        <c:v>-111.50807245635335</c:v>
                      </c:pt>
                      <c:pt idx="61">
                        <c:v>-111.44171369218527</c:v>
                      </c:pt>
                      <c:pt idx="62">
                        <c:v>-111.37635362738388</c:v>
                      </c:pt>
                      <c:pt idx="63">
                        <c:v>-111.31196264626463</c:v>
                      </c:pt>
                      <c:pt idx="64">
                        <c:v>-111.24851243126548</c:v>
                      </c:pt>
                      <c:pt idx="65">
                        <c:v>-111.18597588817202</c:v>
                      </c:pt>
                      <c:pt idx="66">
                        <c:v>-111.12432707664999</c:v>
                      </c:pt>
                      <c:pt idx="67">
                        <c:v>-111.06354114564002</c:v>
                      </c:pt>
                      <c:pt idx="68">
                        <c:v>-111.00359427321133</c:v>
                      </c:pt>
                      <c:pt idx="69">
                        <c:v>-110.94446361051047</c:v>
                      </c:pt>
                      <c:pt idx="70">
                        <c:v>-110.88612722947477</c:v>
                      </c:pt>
                      <c:pt idx="71">
                        <c:v>-110.82856407401125</c:v>
                      </c:pt>
                      <c:pt idx="72">
                        <c:v>-110.77175391436897</c:v>
                      </c:pt>
                      <c:pt idx="73">
                        <c:v>-110.71567730445717</c:v>
                      </c:pt>
                      <c:pt idx="74">
                        <c:v>-110.66031554188426</c:v>
                      </c:pt>
                      <c:pt idx="75">
                        <c:v>-110.60565063051175</c:v>
                      </c:pt>
                      <c:pt idx="76">
                        <c:v>-110.55166524533581</c:v>
                      </c:pt>
                      <c:pt idx="77">
                        <c:v>-110.49834269952498</c:v>
                      </c:pt>
                      <c:pt idx="78">
                        <c:v>-110.44566691345672</c:v>
                      </c:pt>
                      <c:pt idx="79">
                        <c:v>-110.39362238560973</c:v>
                      </c:pt>
                      <c:pt idx="80">
                        <c:v>-110.34219416517951</c:v>
                      </c:pt>
                      <c:pt idx="81">
                        <c:v>-110.29136782629661</c:v>
                      </c:pt>
                      <c:pt idx="82">
                        <c:v>-110.24112944373611</c:v>
                      </c:pt>
                      <c:pt idx="83">
                        <c:v>-110.19146557001601</c:v>
                      </c:pt>
                      <c:pt idx="84">
                        <c:v>-110.14236321379043</c:v>
                      </c:pt>
                      <c:pt idx="85">
                        <c:v>-110.09380981945064</c:v>
                      </c:pt>
                      <c:pt idx="86">
                        <c:v>-110.04579324785377</c:v>
                      </c:pt>
                      <c:pt idx="87">
                        <c:v>-109.99830175810533</c:v>
                      </c:pt>
                      <c:pt idx="88">
                        <c:v>-109.95132399032713</c:v>
                      </c:pt>
                      <c:pt idx="89">
                        <c:v>-109.90484894934708</c:v>
                      </c:pt>
                      <c:pt idx="90">
                        <c:v>-109.85886598925275</c:v>
                      </c:pt>
                      <c:pt idx="91">
                        <c:v>-109.81336479875387</c:v>
                      </c:pt>
                      <c:pt idx="92">
                        <c:v>-109.76833538730386</c:v>
                      </c:pt>
                      <c:pt idx="93">
                        <c:v>-109.72376807193355</c:v>
                      </c:pt>
                      <c:pt idx="94">
                        <c:v>-109.67965346475344</c:v>
                      </c:pt>
                      <c:pt idx="95">
                        <c:v>-109.63598246108447</c:v>
                      </c:pt>
                      <c:pt idx="96">
                        <c:v>-109.59274622817968</c:v>
                      </c:pt>
                      <c:pt idx="97">
                        <c:v>-109.54993619450165</c:v>
                      </c:pt>
                      <c:pt idx="98">
                        <c:v>-109.50754403952335</c:v>
                      </c:pt>
                      <c:pt idx="99">
                        <c:v>-109.46556168402199</c:v>
                      </c:pt>
                      <c:pt idx="100">
                        <c:v>-109.42398128083751</c:v>
                      </c:pt>
                      <c:pt idx="101">
                        <c:v>-109.38279520606923</c:v>
                      </c:pt>
                      <c:pt idx="102">
                        <c:v>-109.34199605068619</c:v>
                      </c:pt>
                      <c:pt idx="103">
                        <c:v>-109.30157661252773</c:v>
                      </c:pt>
                      <c:pt idx="104">
                        <c:v>-109.26152988867304</c:v>
                      </c:pt>
                      <c:pt idx="105">
                        <c:v>-109.2218490681592</c:v>
                      </c:pt>
                      <c:pt idx="106">
                        <c:v>-109.18252752502899</c:v>
                      </c:pt>
                      <c:pt idx="107">
                        <c:v>-109.14355881169055</c:v>
                      </c:pt>
                      <c:pt idx="108">
                        <c:v>-109.10493665257239</c:v>
                      </c:pt>
                      <c:pt idx="109">
                        <c:v>-109.06665493805791</c:v>
                      </c:pt>
                      <c:pt idx="110">
                        <c:v>-109.0287077186851</c:v>
                      </c:pt>
                      <c:pt idx="111">
                        <c:v>-108.9910891995973</c:v>
                      </c:pt>
                      <c:pt idx="112">
                        <c:v>-108.9537937352324</c:v>
                      </c:pt>
                      <c:pt idx="113">
                        <c:v>-108.91681582423797</c:v>
                      </c:pt>
                      <c:pt idx="114">
                        <c:v>-108.88015010460116</c:v>
                      </c:pt>
                      <c:pt idx="115">
                        <c:v>-108.84379134898245</c:v>
                      </c:pt>
                      <c:pt idx="116">
                        <c:v>-108.80773446024307</c:v>
                      </c:pt>
                      <c:pt idx="117">
                        <c:v>-108.77197446715658</c:v>
                      </c:pt>
                      <c:pt idx="118">
                        <c:v>-108.73650652029563</c:v>
                      </c:pt>
                      <c:pt idx="119">
                        <c:v>-108.70132588808518</c:v>
                      </c:pt>
                      <c:pt idx="120">
                        <c:v>-108.66642795301448</c:v>
                      </c:pt>
                      <c:pt idx="121">
                        <c:v>-108.63180820799985</c:v>
                      </c:pt>
                      <c:pt idx="122">
                        <c:v>-108.59746225289146</c:v>
                      </c:pt>
                      <c:pt idx="123">
                        <c:v>-108.56338579111704</c:v>
                      </c:pt>
                      <c:pt idx="124">
                        <c:v>-108.5295746264563</c:v>
                      </c:pt>
                      <c:pt idx="125">
                        <c:v>-108.49602465993985</c:v>
                      </c:pt>
                      <c:pt idx="126">
                        <c:v>-108.46273188686719</c:v>
                      </c:pt>
                      <c:pt idx="127">
                        <c:v>-108.4296923939379</c:v>
                      </c:pt>
                      <c:pt idx="128">
                        <c:v>-108.39690235649125</c:v>
                      </c:pt>
                      <c:pt idx="129">
                        <c:v>-108.36435803584931</c:v>
                      </c:pt>
                      <c:pt idx="130">
                        <c:v>-108.33205577675866</c:v>
                      </c:pt>
                      <c:pt idx="131">
                        <c:v>-108.29999200492676</c:v>
                      </c:pt>
                      <c:pt idx="132">
                        <c:v>-108.26816322464846</c:v>
                      </c:pt>
                      <c:pt idx="133">
                        <c:v>-108.23656601651894</c:v>
                      </c:pt>
                      <c:pt idx="134">
                        <c:v>-108.20519703522916</c:v>
                      </c:pt>
                      <c:pt idx="135">
                        <c:v>-108.17405300744043</c:v>
                      </c:pt>
                      <c:pt idx="136">
                        <c:v>-108.14313072973468</c:v>
                      </c:pt>
                      <c:pt idx="137">
                        <c:v>-108.112427066637</c:v>
                      </c:pt>
                      <c:pt idx="138">
                        <c:v>-108.08193894870786</c:v>
                      </c:pt>
                      <c:pt idx="139">
                        <c:v>-108.05166337070163</c:v>
                      </c:pt>
                      <c:pt idx="140">
                        <c:v>-108.02159738978892</c:v>
                      </c:pt>
                      <c:pt idx="141">
                        <c:v>-107.99173812383999</c:v>
                      </c:pt>
                      <c:pt idx="142">
                        <c:v>-107.96208274976685</c:v>
                      </c:pt>
                      <c:pt idx="143">
                        <c:v>-107.93262850192147</c:v>
                      </c:pt>
                      <c:pt idx="144">
                        <c:v>-107.90337267054807</c:v>
                      </c:pt>
                      <c:pt idx="145">
                        <c:v>-107.87431260028703</c:v>
                      </c:pt>
                      <c:pt idx="146">
                        <c:v>-107.84544568872872</c:v>
                      </c:pt>
                      <c:pt idx="147">
                        <c:v>-107.81676938501491</c:v>
                      </c:pt>
                      <c:pt idx="148">
                        <c:v>-107.78828118848612</c:v>
                      </c:pt>
                      <c:pt idx="149">
                        <c:v>-107.75997864737305</c:v>
                      </c:pt>
                      <c:pt idx="150">
                        <c:v>-107.73185935753034</c:v>
                      </c:pt>
                      <c:pt idx="151">
                        <c:v>-107.70392096121114</c:v>
                      </c:pt>
                      <c:pt idx="152">
                        <c:v>-107.67616114588074</c:v>
                      </c:pt>
                      <c:pt idx="153">
                        <c:v>-107.64857764306791</c:v>
                      </c:pt>
                      <c:pt idx="154">
                        <c:v>-107.62116822725254</c:v>
                      </c:pt>
                      <c:pt idx="155">
                        <c:v>-107.59393071478816</c:v>
                      </c:pt>
                      <c:pt idx="156">
                        <c:v>-157.5668629628579</c:v>
                      </c:pt>
                      <c:pt idx="157">
                        <c:v>-157.53996286846294</c:v>
                      </c:pt>
                      <c:pt idx="158">
                        <c:v>-157.51322836744208</c:v>
                      </c:pt>
                      <c:pt idx="159">
                        <c:v>-157.48665743352126</c:v>
                      </c:pt>
                      <c:pt idx="160">
                        <c:v>-157.46024807739187</c:v>
                      </c:pt>
                      <c:pt idx="161">
                        <c:v>-157.43399834581714</c:v>
                      </c:pt>
                      <c:pt idx="162">
                        <c:v>-157.40790632076533</c:v>
                      </c:pt>
                      <c:pt idx="163">
                        <c:v>-157.38197011856852</c:v>
                      </c:pt>
                      <c:pt idx="164">
                        <c:v>-157.35618788910676</c:v>
                      </c:pt>
                      <c:pt idx="165">
                        <c:v>-157.33055781501611</c:v>
                      </c:pt>
                      <c:pt idx="166">
                        <c:v>-157.30507811091982</c:v>
                      </c:pt>
                      <c:pt idx="167">
                        <c:v>-157.27974702268219</c:v>
                      </c:pt>
                      <c:pt idx="168">
                        <c:v>-157.25456282668375</c:v>
                      </c:pt>
                      <c:pt idx="169">
                        <c:v>-157.22952382911757</c:v>
                      </c:pt>
                      <c:pt idx="170">
                        <c:v>-157.20462836530569</c:v>
                      </c:pt>
                      <c:pt idx="171">
                        <c:v>-157.17987479903499</c:v>
                      </c:pt>
                      <c:pt idx="172">
                        <c:v>-157.15526152191183</c:v>
                      </c:pt>
                      <c:pt idx="173">
                        <c:v>-157.13078695273501</c:v>
                      </c:pt>
                      <c:pt idx="174">
                        <c:v>-157.1064495368862</c:v>
                      </c:pt>
                      <c:pt idx="175">
                        <c:v>-157.08224774573742</c:v>
                      </c:pt>
                      <c:pt idx="176">
                        <c:v>-157.05818007607485</c:v>
                      </c:pt>
                      <c:pt idx="177">
                        <c:v>-157.03424504953861</c:v>
                      </c:pt>
                      <c:pt idx="178">
                        <c:v>-157.01044121207781</c:v>
                      </c:pt>
                      <c:pt idx="179">
                        <c:v>-156.98676713342053</c:v>
                      </c:pt>
                      <c:pt idx="180">
                        <c:v>-156.96322140655812</c:v>
                      </c:pt>
                      <c:pt idx="181">
                        <c:v>-156.93980264724348</c:v>
                      </c:pt>
                      <c:pt idx="182">
                        <c:v>-156.91650949350259</c:v>
                      </c:pt>
                      <c:pt idx="183">
                        <c:v>-156.89334060515941</c:v>
                      </c:pt>
                      <c:pt idx="184">
                        <c:v>-156.87029466337296</c:v>
                      </c:pt>
                      <c:pt idx="185">
                        <c:v>-156.84737037018704</c:v>
                      </c:pt>
                      <c:pt idx="186">
                        <c:v>-156.8245664480915</c:v>
                      </c:pt>
                      <c:pt idx="187">
                        <c:v>-156.80188163959508</c:v>
                      </c:pt>
                      <c:pt idx="188">
                        <c:v>-156.7793147068092</c:v>
                      </c:pt>
                      <c:pt idx="189">
                        <c:v>-156.7568644310428</c:v>
                      </c:pt>
                      <c:pt idx="190">
                        <c:v>-156.73452961240727</c:v>
                      </c:pt>
                      <c:pt idx="191">
                        <c:v>-156.71230906943177</c:v>
                      </c:pt>
                      <c:pt idx="192">
                        <c:v>-156.69020163868808</c:v>
                      </c:pt>
                      <c:pt idx="193">
                        <c:v>-156.66820617442517</c:v>
                      </c:pt>
                      <c:pt idx="194">
                        <c:v>-156.6463215482128</c:v>
                      </c:pt>
                      <c:pt idx="195">
                        <c:v>-156.6245466485943</c:v>
                      </c:pt>
                      <c:pt idx="196">
                        <c:v>-156.60288038074771</c:v>
                      </c:pt>
                      <c:pt idx="197">
                        <c:v>-156.58132166615545</c:v>
                      </c:pt>
                      <c:pt idx="198">
                        <c:v>-156.55986944228232</c:v>
                      </c:pt>
                      <c:pt idx="199">
                        <c:v>-156.5385226622611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BA-4B27-90CF-23E3B49F7A94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BA-4B27-90CF-23E3B49F7A94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BA-4B27-90CF-23E3B49F7A94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BA-4B27-90CF-23E3B49F7A94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5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5</c:v>
                      </c:pt>
                      <c:pt idx="28">
                        <c:v>5</c:v>
                      </c:pt>
                      <c:pt idx="29">
                        <c:v>5</c:v>
                      </c:pt>
                      <c:pt idx="30">
                        <c:v>5</c:v>
                      </c:pt>
                      <c:pt idx="31">
                        <c:v>5</c:v>
                      </c:pt>
                      <c:pt idx="32">
                        <c:v>5</c:v>
                      </c:pt>
                      <c:pt idx="33">
                        <c:v>5</c:v>
                      </c:pt>
                      <c:pt idx="34">
                        <c:v>5</c:v>
                      </c:pt>
                      <c:pt idx="35">
                        <c:v>5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5</c:v>
                      </c:pt>
                      <c:pt idx="40">
                        <c:v>5</c:v>
                      </c:pt>
                      <c:pt idx="41">
                        <c:v>5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5</c:v>
                      </c:pt>
                      <c:pt idx="45">
                        <c:v>5</c:v>
                      </c:pt>
                      <c:pt idx="46">
                        <c:v>5</c:v>
                      </c:pt>
                      <c:pt idx="47">
                        <c:v>5</c:v>
                      </c:pt>
                      <c:pt idx="48">
                        <c:v>5</c:v>
                      </c:pt>
                      <c:pt idx="49">
                        <c:v>5</c:v>
                      </c:pt>
                      <c:pt idx="50">
                        <c:v>5</c:v>
                      </c:pt>
                      <c:pt idx="51">
                        <c:v>5</c:v>
                      </c:pt>
                      <c:pt idx="52">
                        <c:v>5</c:v>
                      </c:pt>
                      <c:pt idx="53">
                        <c:v>5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5</c:v>
                      </c:pt>
                      <c:pt idx="57">
                        <c:v>5</c:v>
                      </c:pt>
                      <c:pt idx="58">
                        <c:v>5</c:v>
                      </c:pt>
                      <c:pt idx="59">
                        <c:v>5</c:v>
                      </c:pt>
                      <c:pt idx="60">
                        <c:v>5</c:v>
                      </c:pt>
                      <c:pt idx="61">
                        <c:v>5</c:v>
                      </c:pt>
                      <c:pt idx="62">
                        <c:v>5</c:v>
                      </c:pt>
                      <c:pt idx="63">
                        <c:v>5</c:v>
                      </c:pt>
                      <c:pt idx="64">
                        <c:v>5</c:v>
                      </c:pt>
                      <c:pt idx="65">
                        <c:v>5</c:v>
                      </c:pt>
                      <c:pt idx="66">
                        <c:v>5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5</c:v>
                      </c:pt>
                      <c:pt idx="71">
                        <c:v>5</c:v>
                      </c:pt>
                      <c:pt idx="72">
                        <c:v>5</c:v>
                      </c:pt>
                      <c:pt idx="73">
                        <c:v>5</c:v>
                      </c:pt>
                      <c:pt idx="74">
                        <c:v>5</c:v>
                      </c:pt>
                      <c:pt idx="75">
                        <c:v>5</c:v>
                      </c:pt>
                      <c:pt idx="76">
                        <c:v>5</c:v>
                      </c:pt>
                      <c:pt idx="77">
                        <c:v>5</c:v>
                      </c:pt>
                      <c:pt idx="78">
                        <c:v>5</c:v>
                      </c:pt>
                      <c:pt idx="79">
                        <c:v>5</c:v>
                      </c:pt>
                      <c:pt idx="80">
                        <c:v>5</c:v>
                      </c:pt>
                      <c:pt idx="81">
                        <c:v>5</c:v>
                      </c:pt>
                      <c:pt idx="82">
                        <c:v>5</c:v>
                      </c:pt>
                      <c:pt idx="83">
                        <c:v>5</c:v>
                      </c:pt>
                      <c:pt idx="84">
                        <c:v>5</c:v>
                      </c:pt>
                      <c:pt idx="85">
                        <c:v>5</c:v>
                      </c:pt>
                      <c:pt idx="86">
                        <c:v>5</c:v>
                      </c:pt>
                      <c:pt idx="87">
                        <c:v>5</c:v>
                      </c:pt>
                      <c:pt idx="88">
                        <c:v>5</c:v>
                      </c:pt>
                      <c:pt idx="89">
                        <c:v>5</c:v>
                      </c:pt>
                      <c:pt idx="90">
                        <c:v>5</c:v>
                      </c:pt>
                      <c:pt idx="91">
                        <c:v>5</c:v>
                      </c:pt>
                      <c:pt idx="92">
                        <c:v>5</c:v>
                      </c:pt>
                      <c:pt idx="93">
                        <c:v>5</c:v>
                      </c:pt>
                      <c:pt idx="94">
                        <c:v>5</c:v>
                      </c:pt>
                      <c:pt idx="95">
                        <c:v>5</c:v>
                      </c:pt>
                      <c:pt idx="96">
                        <c:v>5</c:v>
                      </c:pt>
                      <c:pt idx="97">
                        <c:v>5</c:v>
                      </c:pt>
                      <c:pt idx="98">
                        <c:v>5</c:v>
                      </c:pt>
                      <c:pt idx="99">
                        <c:v>5</c:v>
                      </c:pt>
                      <c:pt idx="100">
                        <c:v>5</c:v>
                      </c:pt>
                      <c:pt idx="101">
                        <c:v>5</c:v>
                      </c:pt>
                      <c:pt idx="102">
                        <c:v>5</c:v>
                      </c:pt>
                      <c:pt idx="103">
                        <c:v>5</c:v>
                      </c:pt>
                      <c:pt idx="104">
                        <c:v>5</c:v>
                      </c:pt>
                      <c:pt idx="105">
                        <c:v>5</c:v>
                      </c:pt>
                      <c:pt idx="106">
                        <c:v>5</c:v>
                      </c:pt>
                      <c:pt idx="107">
                        <c:v>5</c:v>
                      </c:pt>
                      <c:pt idx="108">
                        <c:v>5</c:v>
                      </c:pt>
                      <c:pt idx="109">
                        <c:v>5</c:v>
                      </c:pt>
                      <c:pt idx="110">
                        <c:v>5</c:v>
                      </c:pt>
                      <c:pt idx="111">
                        <c:v>5</c:v>
                      </c:pt>
                      <c:pt idx="112">
                        <c:v>5</c:v>
                      </c:pt>
                      <c:pt idx="113">
                        <c:v>5</c:v>
                      </c:pt>
                      <c:pt idx="114">
                        <c:v>5</c:v>
                      </c:pt>
                      <c:pt idx="115">
                        <c:v>5</c:v>
                      </c:pt>
                      <c:pt idx="116">
                        <c:v>5</c:v>
                      </c:pt>
                      <c:pt idx="117">
                        <c:v>5</c:v>
                      </c:pt>
                      <c:pt idx="118">
                        <c:v>5</c:v>
                      </c:pt>
                      <c:pt idx="119">
                        <c:v>5</c:v>
                      </c:pt>
                      <c:pt idx="120">
                        <c:v>5</c:v>
                      </c:pt>
                      <c:pt idx="121">
                        <c:v>5</c:v>
                      </c:pt>
                      <c:pt idx="122">
                        <c:v>5</c:v>
                      </c:pt>
                      <c:pt idx="123">
                        <c:v>5</c:v>
                      </c:pt>
                      <c:pt idx="124">
                        <c:v>5</c:v>
                      </c:pt>
                      <c:pt idx="125">
                        <c:v>5</c:v>
                      </c:pt>
                      <c:pt idx="126">
                        <c:v>5</c:v>
                      </c:pt>
                      <c:pt idx="127">
                        <c:v>5</c:v>
                      </c:pt>
                      <c:pt idx="128">
                        <c:v>5</c:v>
                      </c:pt>
                      <c:pt idx="129">
                        <c:v>5</c:v>
                      </c:pt>
                      <c:pt idx="130">
                        <c:v>5</c:v>
                      </c:pt>
                      <c:pt idx="131">
                        <c:v>5</c:v>
                      </c:pt>
                      <c:pt idx="132">
                        <c:v>5</c:v>
                      </c:pt>
                      <c:pt idx="133">
                        <c:v>5</c:v>
                      </c:pt>
                      <c:pt idx="134">
                        <c:v>5</c:v>
                      </c:pt>
                      <c:pt idx="135">
                        <c:v>5</c:v>
                      </c:pt>
                      <c:pt idx="136">
                        <c:v>5</c:v>
                      </c:pt>
                      <c:pt idx="137">
                        <c:v>5</c:v>
                      </c:pt>
                      <c:pt idx="138">
                        <c:v>5</c:v>
                      </c:pt>
                      <c:pt idx="139">
                        <c:v>5</c:v>
                      </c:pt>
                      <c:pt idx="140">
                        <c:v>5</c:v>
                      </c:pt>
                      <c:pt idx="141">
                        <c:v>5</c:v>
                      </c:pt>
                      <c:pt idx="142">
                        <c:v>5</c:v>
                      </c:pt>
                      <c:pt idx="143">
                        <c:v>5</c:v>
                      </c:pt>
                      <c:pt idx="144">
                        <c:v>5</c:v>
                      </c:pt>
                      <c:pt idx="145">
                        <c:v>5</c:v>
                      </c:pt>
                      <c:pt idx="146">
                        <c:v>5</c:v>
                      </c:pt>
                      <c:pt idx="147">
                        <c:v>5</c:v>
                      </c:pt>
                      <c:pt idx="148">
                        <c:v>5</c:v>
                      </c:pt>
                      <c:pt idx="149">
                        <c:v>5</c:v>
                      </c:pt>
                      <c:pt idx="150">
                        <c:v>5</c:v>
                      </c:pt>
                      <c:pt idx="151">
                        <c:v>5</c:v>
                      </c:pt>
                      <c:pt idx="152">
                        <c:v>5</c:v>
                      </c:pt>
                      <c:pt idx="153">
                        <c:v>5</c:v>
                      </c:pt>
                      <c:pt idx="154">
                        <c:v>5</c:v>
                      </c:pt>
                      <c:pt idx="155">
                        <c:v>5</c:v>
                      </c:pt>
                      <c:pt idx="156">
                        <c:v>5</c:v>
                      </c:pt>
                      <c:pt idx="157">
                        <c:v>5</c:v>
                      </c:pt>
                      <c:pt idx="158">
                        <c:v>5</c:v>
                      </c:pt>
                      <c:pt idx="159">
                        <c:v>5</c:v>
                      </c:pt>
                      <c:pt idx="160">
                        <c:v>5</c:v>
                      </c:pt>
                      <c:pt idx="161">
                        <c:v>5</c:v>
                      </c:pt>
                      <c:pt idx="162">
                        <c:v>5</c:v>
                      </c:pt>
                      <c:pt idx="163">
                        <c:v>5</c:v>
                      </c:pt>
                      <c:pt idx="164">
                        <c:v>5</c:v>
                      </c:pt>
                      <c:pt idx="165">
                        <c:v>5</c:v>
                      </c:pt>
                      <c:pt idx="166">
                        <c:v>5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5</c:v>
                      </c:pt>
                      <c:pt idx="171">
                        <c:v>5</c:v>
                      </c:pt>
                      <c:pt idx="172">
                        <c:v>5</c:v>
                      </c:pt>
                      <c:pt idx="173">
                        <c:v>5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5</c:v>
                      </c:pt>
                      <c:pt idx="177">
                        <c:v>5</c:v>
                      </c:pt>
                      <c:pt idx="178">
                        <c:v>5</c:v>
                      </c:pt>
                      <c:pt idx="179">
                        <c:v>5</c:v>
                      </c:pt>
                      <c:pt idx="180">
                        <c:v>5</c:v>
                      </c:pt>
                      <c:pt idx="181">
                        <c:v>5</c:v>
                      </c:pt>
                      <c:pt idx="182">
                        <c:v>5</c:v>
                      </c:pt>
                      <c:pt idx="183">
                        <c:v>5</c:v>
                      </c:pt>
                      <c:pt idx="184">
                        <c:v>5</c:v>
                      </c:pt>
                      <c:pt idx="185">
                        <c:v>5</c:v>
                      </c:pt>
                      <c:pt idx="186">
                        <c:v>5</c:v>
                      </c:pt>
                      <c:pt idx="187">
                        <c:v>5</c:v>
                      </c:pt>
                      <c:pt idx="188">
                        <c:v>5</c:v>
                      </c:pt>
                      <c:pt idx="189">
                        <c:v>5</c:v>
                      </c:pt>
                      <c:pt idx="190">
                        <c:v>5</c:v>
                      </c:pt>
                      <c:pt idx="191">
                        <c:v>5</c:v>
                      </c:pt>
                      <c:pt idx="192">
                        <c:v>5</c:v>
                      </c:pt>
                      <c:pt idx="193">
                        <c:v>5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5</c:v>
                      </c:pt>
                      <c:pt idx="197">
                        <c:v>5</c:v>
                      </c:pt>
                      <c:pt idx="198">
                        <c:v>5</c:v>
                      </c:pt>
                      <c:pt idx="199">
                        <c:v>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BA-4B27-90CF-23E3B49F7A94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BA-4B27-90CF-23E3B49F7A94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-143.47032539791388</c:v>
                      </c:pt>
                      <c:pt idx="1">
                        <c:v>-143.47032539791459</c:v>
                      </c:pt>
                      <c:pt idx="2">
                        <c:v>-143.47032539791323</c:v>
                      </c:pt>
                      <c:pt idx="3">
                        <c:v>-143.47032539791488</c:v>
                      </c:pt>
                      <c:pt idx="4">
                        <c:v>-143.47032539791505</c:v>
                      </c:pt>
                      <c:pt idx="5">
                        <c:v>-143.4703253979153</c:v>
                      </c:pt>
                      <c:pt idx="6">
                        <c:v>-143.47032539791394</c:v>
                      </c:pt>
                      <c:pt idx="7">
                        <c:v>-143.47032539791601</c:v>
                      </c:pt>
                      <c:pt idx="8">
                        <c:v>-143.470325397913</c:v>
                      </c:pt>
                      <c:pt idx="9">
                        <c:v>-143.47032539791491</c:v>
                      </c:pt>
                      <c:pt idx="10">
                        <c:v>-143.47032539791743</c:v>
                      </c:pt>
                      <c:pt idx="11">
                        <c:v>-143.47032539791221</c:v>
                      </c:pt>
                      <c:pt idx="12">
                        <c:v>-143.47032539791621</c:v>
                      </c:pt>
                      <c:pt idx="13">
                        <c:v>-143.47032539791596</c:v>
                      </c:pt>
                      <c:pt idx="14">
                        <c:v>-143.47032539791547</c:v>
                      </c:pt>
                      <c:pt idx="15">
                        <c:v>-143.47032539791411</c:v>
                      </c:pt>
                      <c:pt idx="16">
                        <c:v>-143.47032539791522</c:v>
                      </c:pt>
                      <c:pt idx="17">
                        <c:v>-143.47032539791843</c:v>
                      </c:pt>
                      <c:pt idx="18">
                        <c:v>-143.47032539791496</c:v>
                      </c:pt>
                      <c:pt idx="19">
                        <c:v>-143.47032539791621</c:v>
                      </c:pt>
                      <c:pt idx="20">
                        <c:v>-143.47032539791633</c:v>
                      </c:pt>
                      <c:pt idx="21">
                        <c:v>-143.4703253979188</c:v>
                      </c:pt>
                      <c:pt idx="22">
                        <c:v>-143.47032539791337</c:v>
                      </c:pt>
                      <c:pt idx="23">
                        <c:v>-143.47032539791337</c:v>
                      </c:pt>
                      <c:pt idx="24">
                        <c:v>-143.47032539791488</c:v>
                      </c:pt>
                      <c:pt idx="25">
                        <c:v>-143.47032539791167</c:v>
                      </c:pt>
                      <c:pt idx="26">
                        <c:v>-143.47032539791275</c:v>
                      </c:pt>
                      <c:pt idx="27">
                        <c:v>-143.47032539791388</c:v>
                      </c:pt>
                      <c:pt idx="28">
                        <c:v>-143.47032539791573</c:v>
                      </c:pt>
                      <c:pt idx="29">
                        <c:v>-143.47032539791684</c:v>
                      </c:pt>
                      <c:pt idx="30">
                        <c:v>-143.47032539791363</c:v>
                      </c:pt>
                      <c:pt idx="31">
                        <c:v>-143.47032539791141</c:v>
                      </c:pt>
                      <c:pt idx="32">
                        <c:v>-143.47032539791189</c:v>
                      </c:pt>
                      <c:pt idx="33">
                        <c:v>-143.47032539791684</c:v>
                      </c:pt>
                      <c:pt idx="34">
                        <c:v>-143.47032539791411</c:v>
                      </c:pt>
                      <c:pt idx="35">
                        <c:v>-143.47032539791832</c:v>
                      </c:pt>
                      <c:pt idx="36">
                        <c:v>-143.47032539791215</c:v>
                      </c:pt>
                      <c:pt idx="37">
                        <c:v>-143.47032539790942</c:v>
                      </c:pt>
                      <c:pt idx="38">
                        <c:v>-143.47032539792002</c:v>
                      </c:pt>
                      <c:pt idx="39">
                        <c:v>-143.4703253979178</c:v>
                      </c:pt>
                      <c:pt idx="40">
                        <c:v>-143.4703253979124</c:v>
                      </c:pt>
                      <c:pt idx="41">
                        <c:v>-143.47032539791584</c:v>
                      </c:pt>
                      <c:pt idx="42">
                        <c:v>-143.47032539791979</c:v>
                      </c:pt>
                      <c:pt idx="43">
                        <c:v>-143.4703253979151</c:v>
                      </c:pt>
                      <c:pt idx="44">
                        <c:v>-143.47032539790843</c:v>
                      </c:pt>
                      <c:pt idx="45">
                        <c:v>-143.47032539791189</c:v>
                      </c:pt>
                      <c:pt idx="46">
                        <c:v>-143.47032539792028</c:v>
                      </c:pt>
                      <c:pt idx="47">
                        <c:v>-143.47032539791806</c:v>
                      </c:pt>
                      <c:pt idx="48">
                        <c:v>-143.47032539791658</c:v>
                      </c:pt>
                      <c:pt idx="49">
                        <c:v>-143.47032539791411</c:v>
                      </c:pt>
                      <c:pt idx="50">
                        <c:v>-143.47032539791311</c:v>
                      </c:pt>
                      <c:pt idx="51">
                        <c:v>-143.47032539791536</c:v>
                      </c:pt>
                      <c:pt idx="52">
                        <c:v>-143.47032539791141</c:v>
                      </c:pt>
                      <c:pt idx="53">
                        <c:v>-143.47032539790081</c:v>
                      </c:pt>
                      <c:pt idx="54">
                        <c:v>-143.47032539791215</c:v>
                      </c:pt>
                      <c:pt idx="55">
                        <c:v>-143.47032539791311</c:v>
                      </c:pt>
                      <c:pt idx="56">
                        <c:v>-143.47032539790646</c:v>
                      </c:pt>
                      <c:pt idx="57">
                        <c:v>-143.47032539792201</c:v>
                      </c:pt>
                      <c:pt idx="58">
                        <c:v>-143.47032539790524</c:v>
                      </c:pt>
                      <c:pt idx="59">
                        <c:v>-143.47032539791684</c:v>
                      </c:pt>
                      <c:pt idx="60">
                        <c:v>-143.47032539792372</c:v>
                      </c:pt>
                      <c:pt idx="61">
                        <c:v>-143.4703253979124</c:v>
                      </c:pt>
                      <c:pt idx="62">
                        <c:v>-143.47032539791363</c:v>
                      </c:pt>
                      <c:pt idx="63">
                        <c:v>-143.47032539792474</c:v>
                      </c:pt>
                      <c:pt idx="64">
                        <c:v>-143.47032539790843</c:v>
                      </c:pt>
                      <c:pt idx="65">
                        <c:v>-143.47032539791928</c:v>
                      </c:pt>
                      <c:pt idx="66">
                        <c:v>-143.47032539791488</c:v>
                      </c:pt>
                      <c:pt idx="67">
                        <c:v>-143.47032539792275</c:v>
                      </c:pt>
                      <c:pt idx="68">
                        <c:v>-143.47032539792619</c:v>
                      </c:pt>
                      <c:pt idx="69">
                        <c:v>-143.47032539791041</c:v>
                      </c:pt>
                      <c:pt idx="70">
                        <c:v>-143.4703253979178</c:v>
                      </c:pt>
                      <c:pt idx="71">
                        <c:v>-143.47032539791289</c:v>
                      </c:pt>
                      <c:pt idx="72">
                        <c:v>-143.47032539791141</c:v>
                      </c:pt>
                      <c:pt idx="73">
                        <c:v>-143.47032539791928</c:v>
                      </c:pt>
                      <c:pt idx="74">
                        <c:v>-143.4703253979178</c:v>
                      </c:pt>
                      <c:pt idx="75">
                        <c:v>-143.47032539792522</c:v>
                      </c:pt>
                      <c:pt idx="76">
                        <c:v>-143.47032539790993</c:v>
                      </c:pt>
                      <c:pt idx="77">
                        <c:v>-143.47032539792718</c:v>
                      </c:pt>
                      <c:pt idx="78">
                        <c:v>-143.47032539791633</c:v>
                      </c:pt>
                      <c:pt idx="79">
                        <c:v>-143.47032539790646</c:v>
                      </c:pt>
                      <c:pt idx="80">
                        <c:v>-143.47032539791488</c:v>
                      </c:pt>
                      <c:pt idx="81">
                        <c:v>-143.47032539790499</c:v>
                      </c:pt>
                      <c:pt idx="82">
                        <c:v>-143.47032539792474</c:v>
                      </c:pt>
                      <c:pt idx="83">
                        <c:v>-143.47032539791832</c:v>
                      </c:pt>
                      <c:pt idx="84">
                        <c:v>-143.4703253979124</c:v>
                      </c:pt>
                      <c:pt idx="85">
                        <c:v>-143.47032539792917</c:v>
                      </c:pt>
                      <c:pt idx="86">
                        <c:v>-143.47032539791536</c:v>
                      </c:pt>
                      <c:pt idx="87">
                        <c:v>-143.47032539790695</c:v>
                      </c:pt>
                      <c:pt idx="88">
                        <c:v>-143.47032539791633</c:v>
                      </c:pt>
                      <c:pt idx="89">
                        <c:v>-143.47032539791488</c:v>
                      </c:pt>
                      <c:pt idx="90">
                        <c:v>-143.47032539792326</c:v>
                      </c:pt>
                      <c:pt idx="91">
                        <c:v>-143.47032539792127</c:v>
                      </c:pt>
                      <c:pt idx="92">
                        <c:v>-143.47032539790797</c:v>
                      </c:pt>
                      <c:pt idx="93">
                        <c:v>-143.47032539790598</c:v>
                      </c:pt>
                      <c:pt idx="94">
                        <c:v>-143.47032539791189</c:v>
                      </c:pt>
                      <c:pt idx="95">
                        <c:v>-143.47032539791388</c:v>
                      </c:pt>
                      <c:pt idx="96">
                        <c:v>-143.47032539791536</c:v>
                      </c:pt>
                      <c:pt idx="97">
                        <c:v>-143.47032539793014</c:v>
                      </c:pt>
                      <c:pt idx="98">
                        <c:v>-143.47032539791141</c:v>
                      </c:pt>
                      <c:pt idx="99">
                        <c:v>-143.47032539792127</c:v>
                      </c:pt>
                      <c:pt idx="100">
                        <c:v>-143.47032539791584</c:v>
                      </c:pt>
                      <c:pt idx="101">
                        <c:v>-143.4703253979124</c:v>
                      </c:pt>
                      <c:pt idx="102">
                        <c:v>-143.47032539792275</c:v>
                      </c:pt>
                      <c:pt idx="103">
                        <c:v>-143.47032539790155</c:v>
                      </c:pt>
                      <c:pt idx="104">
                        <c:v>-143.4703253979188</c:v>
                      </c:pt>
                      <c:pt idx="105">
                        <c:v>-143.47032539791488</c:v>
                      </c:pt>
                      <c:pt idx="106">
                        <c:v>-143.47032539790843</c:v>
                      </c:pt>
                      <c:pt idx="107">
                        <c:v>-143.47032539791633</c:v>
                      </c:pt>
                      <c:pt idx="108">
                        <c:v>-143.47032539790993</c:v>
                      </c:pt>
                      <c:pt idx="109">
                        <c:v>-143.47032539793261</c:v>
                      </c:pt>
                      <c:pt idx="110">
                        <c:v>-143.47032539793261</c:v>
                      </c:pt>
                      <c:pt idx="111">
                        <c:v>-143.47032539790894</c:v>
                      </c:pt>
                      <c:pt idx="112">
                        <c:v>-143.47032539789612</c:v>
                      </c:pt>
                      <c:pt idx="113">
                        <c:v>-143.47032539790402</c:v>
                      </c:pt>
                      <c:pt idx="114">
                        <c:v>-143.47032539792079</c:v>
                      </c:pt>
                      <c:pt idx="115">
                        <c:v>-143.47032539789413</c:v>
                      </c:pt>
                      <c:pt idx="116">
                        <c:v>-143.47032539790499</c:v>
                      </c:pt>
                      <c:pt idx="117">
                        <c:v>-143.47032539790402</c:v>
                      </c:pt>
                      <c:pt idx="118">
                        <c:v>-143.47032539792423</c:v>
                      </c:pt>
                      <c:pt idx="119">
                        <c:v>-143.47032539791289</c:v>
                      </c:pt>
                      <c:pt idx="120">
                        <c:v>-143.47032539790646</c:v>
                      </c:pt>
                      <c:pt idx="121">
                        <c:v>-143.47032539793165</c:v>
                      </c:pt>
                      <c:pt idx="122">
                        <c:v>-143.47032539790894</c:v>
                      </c:pt>
                      <c:pt idx="123">
                        <c:v>-143.47032539790598</c:v>
                      </c:pt>
                      <c:pt idx="124">
                        <c:v>-143.47032539792966</c:v>
                      </c:pt>
                      <c:pt idx="125">
                        <c:v>-143.47032539793557</c:v>
                      </c:pt>
                      <c:pt idx="126">
                        <c:v>-143.47032539789711</c:v>
                      </c:pt>
                      <c:pt idx="127">
                        <c:v>-143.47032539793213</c:v>
                      </c:pt>
                      <c:pt idx="128">
                        <c:v>-143.4703253979124</c:v>
                      </c:pt>
                      <c:pt idx="129">
                        <c:v>-143.47032539790055</c:v>
                      </c:pt>
                      <c:pt idx="130">
                        <c:v>-143.47032539789956</c:v>
                      </c:pt>
                      <c:pt idx="131">
                        <c:v>-143.47032539789069</c:v>
                      </c:pt>
                      <c:pt idx="132">
                        <c:v>-143.47032539792227</c:v>
                      </c:pt>
                      <c:pt idx="133">
                        <c:v>-143.47032539792818</c:v>
                      </c:pt>
                      <c:pt idx="134">
                        <c:v>-143.47032539790351</c:v>
                      </c:pt>
                      <c:pt idx="135">
                        <c:v>-143.47032539790746</c:v>
                      </c:pt>
                      <c:pt idx="136">
                        <c:v>-143.47032539792127</c:v>
                      </c:pt>
                      <c:pt idx="137">
                        <c:v>-143.47032539792818</c:v>
                      </c:pt>
                      <c:pt idx="138">
                        <c:v>-143.47032539790351</c:v>
                      </c:pt>
                      <c:pt idx="139">
                        <c:v>-143.47032539789365</c:v>
                      </c:pt>
                      <c:pt idx="140">
                        <c:v>-143.47032539789757</c:v>
                      </c:pt>
                      <c:pt idx="141">
                        <c:v>-143.47032539792718</c:v>
                      </c:pt>
                      <c:pt idx="142">
                        <c:v>-143.4703253979124</c:v>
                      </c:pt>
                      <c:pt idx="143">
                        <c:v>-143.47032539790746</c:v>
                      </c:pt>
                      <c:pt idx="144">
                        <c:v>-143.47032539790646</c:v>
                      </c:pt>
                      <c:pt idx="145">
                        <c:v>-143.47032539791041</c:v>
                      </c:pt>
                      <c:pt idx="146">
                        <c:v>-143.4703253979124</c:v>
                      </c:pt>
                      <c:pt idx="147">
                        <c:v>-143.47032539790843</c:v>
                      </c:pt>
                      <c:pt idx="148">
                        <c:v>-143.47032539789561</c:v>
                      </c:pt>
                      <c:pt idx="149">
                        <c:v>-143.47032539791041</c:v>
                      </c:pt>
                      <c:pt idx="150">
                        <c:v>-143.47032539790843</c:v>
                      </c:pt>
                      <c:pt idx="151">
                        <c:v>-143.47032539791732</c:v>
                      </c:pt>
                      <c:pt idx="152">
                        <c:v>-143.47032539793014</c:v>
                      </c:pt>
                      <c:pt idx="153">
                        <c:v>-143.47032539795876</c:v>
                      </c:pt>
                      <c:pt idx="154">
                        <c:v>-143.47032539792423</c:v>
                      </c:pt>
                      <c:pt idx="155">
                        <c:v>-143.47032539788574</c:v>
                      </c:pt>
                      <c:pt idx="156">
                        <c:v>-193.47032539791485</c:v>
                      </c:pt>
                      <c:pt idx="157">
                        <c:v>-193.47032539788248</c:v>
                      </c:pt>
                      <c:pt idx="158">
                        <c:v>-193.47032539789527</c:v>
                      </c:pt>
                      <c:pt idx="159">
                        <c:v>-193.47032539794418</c:v>
                      </c:pt>
                      <c:pt idx="160">
                        <c:v>-193.47032539789376</c:v>
                      </c:pt>
                      <c:pt idx="161">
                        <c:v>-193.47032539791411</c:v>
                      </c:pt>
                      <c:pt idx="162">
                        <c:v>-193.47032539789376</c:v>
                      </c:pt>
                      <c:pt idx="163">
                        <c:v>-193.47032539791331</c:v>
                      </c:pt>
                      <c:pt idx="164">
                        <c:v>-193.47032539792991</c:v>
                      </c:pt>
                      <c:pt idx="165">
                        <c:v>-193.47032539791709</c:v>
                      </c:pt>
                      <c:pt idx="166">
                        <c:v>-193.47032539790578</c:v>
                      </c:pt>
                      <c:pt idx="167">
                        <c:v>-193.470325397887</c:v>
                      </c:pt>
                      <c:pt idx="168">
                        <c:v>-193.47032539788546</c:v>
                      </c:pt>
                      <c:pt idx="169">
                        <c:v>-193.47032539794569</c:v>
                      </c:pt>
                      <c:pt idx="170">
                        <c:v>-193.47032539792616</c:v>
                      </c:pt>
                      <c:pt idx="171">
                        <c:v>-193.47032539794043</c:v>
                      </c:pt>
                      <c:pt idx="172">
                        <c:v>-193.47032539795924</c:v>
                      </c:pt>
                      <c:pt idx="173">
                        <c:v>-193.47032539794043</c:v>
                      </c:pt>
                      <c:pt idx="174">
                        <c:v>-193.47032539790354</c:v>
                      </c:pt>
                      <c:pt idx="175">
                        <c:v>-193.47032539792838</c:v>
                      </c:pt>
                      <c:pt idx="176">
                        <c:v>-193.47032539788546</c:v>
                      </c:pt>
                      <c:pt idx="177">
                        <c:v>-193.47032539796982</c:v>
                      </c:pt>
                      <c:pt idx="178">
                        <c:v>-193.47032539792912</c:v>
                      </c:pt>
                      <c:pt idx="179">
                        <c:v>-193.47032539792312</c:v>
                      </c:pt>
                      <c:pt idx="180">
                        <c:v>-193.47032539792536</c:v>
                      </c:pt>
                      <c:pt idx="181">
                        <c:v>-193.47032539792238</c:v>
                      </c:pt>
                      <c:pt idx="182">
                        <c:v>-193.47032539787645</c:v>
                      </c:pt>
                      <c:pt idx="183">
                        <c:v>-193.47032539796527</c:v>
                      </c:pt>
                      <c:pt idx="184">
                        <c:v>-193.47032539793139</c:v>
                      </c:pt>
                      <c:pt idx="185">
                        <c:v>-193.47032539792991</c:v>
                      </c:pt>
                      <c:pt idx="186">
                        <c:v>-193.4703253979269</c:v>
                      </c:pt>
                      <c:pt idx="187">
                        <c:v>-193.47032539793065</c:v>
                      </c:pt>
                      <c:pt idx="188">
                        <c:v>-193.47032539793443</c:v>
                      </c:pt>
                      <c:pt idx="189">
                        <c:v>-193.47032539795248</c:v>
                      </c:pt>
                      <c:pt idx="190">
                        <c:v>-193.47032539787193</c:v>
                      </c:pt>
                      <c:pt idx="191">
                        <c:v>-193.47032539789001</c:v>
                      </c:pt>
                      <c:pt idx="192">
                        <c:v>-193.47032539792991</c:v>
                      </c:pt>
                      <c:pt idx="193">
                        <c:v>-193.47032539792011</c:v>
                      </c:pt>
                      <c:pt idx="194">
                        <c:v>-193.47032539786966</c:v>
                      </c:pt>
                      <c:pt idx="195">
                        <c:v>-193.47032539790206</c:v>
                      </c:pt>
                      <c:pt idx="196">
                        <c:v>-193.4703253979111</c:v>
                      </c:pt>
                      <c:pt idx="197">
                        <c:v>-193.47032539793895</c:v>
                      </c:pt>
                      <c:pt idx="198">
                        <c:v>-193.47032539792011</c:v>
                      </c:pt>
                      <c:pt idx="199">
                        <c:v>-193.47032539788171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BA-4B27-90CF-23E3B49F7A94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-138.38708034075637</c:v>
                      </c:pt>
                      <c:pt idx="1">
                        <c:v>-138.3870803407566</c:v>
                      </c:pt>
                      <c:pt idx="2">
                        <c:v>-138.38708034075617</c:v>
                      </c:pt>
                      <c:pt idx="3">
                        <c:v>-138.38708034075668</c:v>
                      </c:pt>
                      <c:pt idx="4">
                        <c:v>-138.38708034075671</c:v>
                      </c:pt>
                      <c:pt idx="5">
                        <c:v>-138.38708034075682</c:v>
                      </c:pt>
                      <c:pt idx="6">
                        <c:v>-138.3870803407564</c:v>
                      </c:pt>
                      <c:pt idx="7">
                        <c:v>-138.38708034075705</c:v>
                      </c:pt>
                      <c:pt idx="8">
                        <c:v>-138.38708034075611</c:v>
                      </c:pt>
                      <c:pt idx="9">
                        <c:v>-138.38708034075668</c:v>
                      </c:pt>
                      <c:pt idx="10">
                        <c:v>-138.38708034075748</c:v>
                      </c:pt>
                      <c:pt idx="11">
                        <c:v>-138.38708034075586</c:v>
                      </c:pt>
                      <c:pt idx="12">
                        <c:v>-138.38708034075711</c:v>
                      </c:pt>
                      <c:pt idx="13">
                        <c:v>-138.38708034075702</c:v>
                      </c:pt>
                      <c:pt idx="14">
                        <c:v>-138.38708034075688</c:v>
                      </c:pt>
                      <c:pt idx="15">
                        <c:v>-138.38708034075643</c:v>
                      </c:pt>
                      <c:pt idx="16">
                        <c:v>-138.3870803407568</c:v>
                      </c:pt>
                      <c:pt idx="17">
                        <c:v>-138.38708034075779</c:v>
                      </c:pt>
                      <c:pt idx="18">
                        <c:v>-138.38708034075671</c:v>
                      </c:pt>
                      <c:pt idx="19">
                        <c:v>-138.38708034075711</c:v>
                      </c:pt>
                      <c:pt idx="20">
                        <c:v>-138.38708034075714</c:v>
                      </c:pt>
                      <c:pt idx="21">
                        <c:v>-138.3870803407579</c:v>
                      </c:pt>
                      <c:pt idx="22">
                        <c:v>-138.3870803407562</c:v>
                      </c:pt>
                      <c:pt idx="23">
                        <c:v>-138.3870803407562</c:v>
                      </c:pt>
                      <c:pt idx="24">
                        <c:v>-138.38708034075668</c:v>
                      </c:pt>
                      <c:pt idx="25">
                        <c:v>-138.38708034075569</c:v>
                      </c:pt>
                      <c:pt idx="26">
                        <c:v>-138.38708034075603</c:v>
                      </c:pt>
                      <c:pt idx="27">
                        <c:v>-138.38708034075637</c:v>
                      </c:pt>
                      <c:pt idx="28">
                        <c:v>-138.38708034075697</c:v>
                      </c:pt>
                      <c:pt idx="29">
                        <c:v>-138.38708034075728</c:v>
                      </c:pt>
                      <c:pt idx="30">
                        <c:v>-138.38708034075631</c:v>
                      </c:pt>
                      <c:pt idx="31">
                        <c:v>-138.3870803407556</c:v>
                      </c:pt>
                      <c:pt idx="32">
                        <c:v>-138.38708034075574</c:v>
                      </c:pt>
                      <c:pt idx="33">
                        <c:v>-138.38708034075728</c:v>
                      </c:pt>
                      <c:pt idx="34">
                        <c:v>-138.38708034075643</c:v>
                      </c:pt>
                      <c:pt idx="35">
                        <c:v>-138.38708034075776</c:v>
                      </c:pt>
                      <c:pt idx="36">
                        <c:v>-138.38708034075583</c:v>
                      </c:pt>
                      <c:pt idx="37">
                        <c:v>-138.38708034075498</c:v>
                      </c:pt>
                      <c:pt idx="38">
                        <c:v>-138.38708034075827</c:v>
                      </c:pt>
                      <c:pt idx="39">
                        <c:v>-138.38708034075759</c:v>
                      </c:pt>
                      <c:pt idx="40">
                        <c:v>-138.38708034075592</c:v>
                      </c:pt>
                      <c:pt idx="41">
                        <c:v>-138.38708034075697</c:v>
                      </c:pt>
                      <c:pt idx="42">
                        <c:v>-138.38708034075819</c:v>
                      </c:pt>
                      <c:pt idx="43">
                        <c:v>-138.38708034075674</c:v>
                      </c:pt>
                      <c:pt idx="44">
                        <c:v>-138.38708034075469</c:v>
                      </c:pt>
                      <c:pt idx="45">
                        <c:v>-138.38708034075574</c:v>
                      </c:pt>
                      <c:pt idx="46">
                        <c:v>-138.38708034075836</c:v>
                      </c:pt>
                      <c:pt idx="47">
                        <c:v>-138.38708034075768</c:v>
                      </c:pt>
                      <c:pt idx="48">
                        <c:v>-138.38708034075719</c:v>
                      </c:pt>
                      <c:pt idx="49">
                        <c:v>-138.38708034075643</c:v>
                      </c:pt>
                      <c:pt idx="50">
                        <c:v>-138.38708034075614</c:v>
                      </c:pt>
                      <c:pt idx="51">
                        <c:v>-138.38708034075682</c:v>
                      </c:pt>
                      <c:pt idx="52">
                        <c:v>-138.3870803407556</c:v>
                      </c:pt>
                      <c:pt idx="53">
                        <c:v>-138.38708034075233</c:v>
                      </c:pt>
                      <c:pt idx="54">
                        <c:v>-138.38708034075583</c:v>
                      </c:pt>
                      <c:pt idx="55">
                        <c:v>-138.38708034075614</c:v>
                      </c:pt>
                      <c:pt idx="56">
                        <c:v>-138.38708034075407</c:v>
                      </c:pt>
                      <c:pt idx="57">
                        <c:v>-138.3870803407589</c:v>
                      </c:pt>
                      <c:pt idx="58">
                        <c:v>-138.3870803407537</c:v>
                      </c:pt>
                      <c:pt idx="59">
                        <c:v>-138.38708034075728</c:v>
                      </c:pt>
                      <c:pt idx="60">
                        <c:v>-138.38708034075944</c:v>
                      </c:pt>
                      <c:pt idx="61">
                        <c:v>-138.38708034075592</c:v>
                      </c:pt>
                      <c:pt idx="62">
                        <c:v>-138.38708034075631</c:v>
                      </c:pt>
                      <c:pt idx="63">
                        <c:v>-138.38708034075975</c:v>
                      </c:pt>
                      <c:pt idx="64">
                        <c:v>-138.38708034075469</c:v>
                      </c:pt>
                      <c:pt idx="65">
                        <c:v>-138.38708034075805</c:v>
                      </c:pt>
                      <c:pt idx="66">
                        <c:v>-138.38708034075668</c:v>
                      </c:pt>
                      <c:pt idx="67">
                        <c:v>-138.38708034075913</c:v>
                      </c:pt>
                      <c:pt idx="68">
                        <c:v>-138.38708034076018</c:v>
                      </c:pt>
                      <c:pt idx="69">
                        <c:v>-138.38708034075529</c:v>
                      </c:pt>
                      <c:pt idx="70">
                        <c:v>-138.38708034075759</c:v>
                      </c:pt>
                      <c:pt idx="71">
                        <c:v>-138.38708034075606</c:v>
                      </c:pt>
                      <c:pt idx="72">
                        <c:v>-138.3870803407556</c:v>
                      </c:pt>
                      <c:pt idx="73">
                        <c:v>-138.38708034075805</c:v>
                      </c:pt>
                      <c:pt idx="74">
                        <c:v>-138.38708034075759</c:v>
                      </c:pt>
                      <c:pt idx="75">
                        <c:v>-138.38708034075989</c:v>
                      </c:pt>
                      <c:pt idx="76">
                        <c:v>-138.38708034075518</c:v>
                      </c:pt>
                      <c:pt idx="77">
                        <c:v>-138.38708034076049</c:v>
                      </c:pt>
                      <c:pt idx="78">
                        <c:v>-138.38708034075714</c:v>
                      </c:pt>
                      <c:pt idx="79">
                        <c:v>-138.38708034075407</c:v>
                      </c:pt>
                      <c:pt idx="80">
                        <c:v>-138.38708034075668</c:v>
                      </c:pt>
                      <c:pt idx="81">
                        <c:v>-138.38708034075361</c:v>
                      </c:pt>
                      <c:pt idx="82">
                        <c:v>-138.38708034075975</c:v>
                      </c:pt>
                      <c:pt idx="83">
                        <c:v>-138.38708034075776</c:v>
                      </c:pt>
                      <c:pt idx="84">
                        <c:v>-138.38708034075592</c:v>
                      </c:pt>
                      <c:pt idx="85">
                        <c:v>-138.38708034076112</c:v>
                      </c:pt>
                      <c:pt idx="86">
                        <c:v>-138.38708034075682</c:v>
                      </c:pt>
                      <c:pt idx="87">
                        <c:v>-138.38708034075421</c:v>
                      </c:pt>
                      <c:pt idx="88">
                        <c:v>-138.38708034075714</c:v>
                      </c:pt>
                      <c:pt idx="89">
                        <c:v>-138.38708034075668</c:v>
                      </c:pt>
                      <c:pt idx="90">
                        <c:v>-138.38708034075927</c:v>
                      </c:pt>
                      <c:pt idx="91">
                        <c:v>-138.38708034075867</c:v>
                      </c:pt>
                      <c:pt idx="92">
                        <c:v>-138.38708034075455</c:v>
                      </c:pt>
                      <c:pt idx="93">
                        <c:v>-138.38708034075393</c:v>
                      </c:pt>
                      <c:pt idx="94">
                        <c:v>-138.38708034075574</c:v>
                      </c:pt>
                      <c:pt idx="95">
                        <c:v>-138.38708034075637</c:v>
                      </c:pt>
                      <c:pt idx="96">
                        <c:v>-138.38708034075682</c:v>
                      </c:pt>
                      <c:pt idx="97">
                        <c:v>-138.38708034076143</c:v>
                      </c:pt>
                      <c:pt idx="98">
                        <c:v>-138.3870803407556</c:v>
                      </c:pt>
                      <c:pt idx="99">
                        <c:v>-138.38708034075867</c:v>
                      </c:pt>
                      <c:pt idx="100">
                        <c:v>-138.38708034075697</c:v>
                      </c:pt>
                      <c:pt idx="101">
                        <c:v>-138.38708034075592</c:v>
                      </c:pt>
                      <c:pt idx="102">
                        <c:v>-138.38708034075913</c:v>
                      </c:pt>
                      <c:pt idx="103">
                        <c:v>-138.38708034075256</c:v>
                      </c:pt>
                      <c:pt idx="104">
                        <c:v>-138.3870803407579</c:v>
                      </c:pt>
                      <c:pt idx="105">
                        <c:v>-138.38708034075668</c:v>
                      </c:pt>
                      <c:pt idx="106">
                        <c:v>-138.38708034075469</c:v>
                      </c:pt>
                      <c:pt idx="107">
                        <c:v>-138.38708034075714</c:v>
                      </c:pt>
                      <c:pt idx="108">
                        <c:v>-138.38708034075518</c:v>
                      </c:pt>
                      <c:pt idx="109">
                        <c:v>-138.3870803407622</c:v>
                      </c:pt>
                      <c:pt idx="110">
                        <c:v>-138.3870803407622</c:v>
                      </c:pt>
                      <c:pt idx="111">
                        <c:v>-138.38708034075484</c:v>
                      </c:pt>
                      <c:pt idx="112">
                        <c:v>-138.38708034075086</c:v>
                      </c:pt>
                      <c:pt idx="113">
                        <c:v>-138.3870803407533</c:v>
                      </c:pt>
                      <c:pt idx="114">
                        <c:v>-138.38708034075853</c:v>
                      </c:pt>
                      <c:pt idx="115">
                        <c:v>-138.38708034075026</c:v>
                      </c:pt>
                      <c:pt idx="116">
                        <c:v>-138.38708034075361</c:v>
                      </c:pt>
                      <c:pt idx="117">
                        <c:v>-138.3870803407533</c:v>
                      </c:pt>
                      <c:pt idx="118">
                        <c:v>-138.38708034075958</c:v>
                      </c:pt>
                      <c:pt idx="119">
                        <c:v>-138.38708034075606</c:v>
                      </c:pt>
                      <c:pt idx="120">
                        <c:v>-138.38708034075407</c:v>
                      </c:pt>
                      <c:pt idx="121">
                        <c:v>-138.38708034076188</c:v>
                      </c:pt>
                      <c:pt idx="122">
                        <c:v>-138.38708034075484</c:v>
                      </c:pt>
                      <c:pt idx="123">
                        <c:v>-138.38708034075393</c:v>
                      </c:pt>
                      <c:pt idx="124">
                        <c:v>-138.38708034076126</c:v>
                      </c:pt>
                      <c:pt idx="125">
                        <c:v>-138.38708034076311</c:v>
                      </c:pt>
                      <c:pt idx="126">
                        <c:v>-138.38708034075117</c:v>
                      </c:pt>
                      <c:pt idx="127">
                        <c:v>-138.38708034076203</c:v>
                      </c:pt>
                      <c:pt idx="128">
                        <c:v>-138.38708034075592</c:v>
                      </c:pt>
                      <c:pt idx="129">
                        <c:v>-138.38708034075225</c:v>
                      </c:pt>
                      <c:pt idx="130">
                        <c:v>-138.38708034075194</c:v>
                      </c:pt>
                      <c:pt idx="131">
                        <c:v>-138.38708034074918</c:v>
                      </c:pt>
                      <c:pt idx="132">
                        <c:v>-138.38708034075898</c:v>
                      </c:pt>
                      <c:pt idx="133">
                        <c:v>-138.3870803407608</c:v>
                      </c:pt>
                      <c:pt idx="134">
                        <c:v>-138.38708034075316</c:v>
                      </c:pt>
                      <c:pt idx="135">
                        <c:v>-138.38708034075438</c:v>
                      </c:pt>
                      <c:pt idx="136">
                        <c:v>-138.38708034075867</c:v>
                      </c:pt>
                      <c:pt idx="137">
                        <c:v>-138.3870803407608</c:v>
                      </c:pt>
                      <c:pt idx="138">
                        <c:v>-138.38708034075316</c:v>
                      </c:pt>
                      <c:pt idx="139">
                        <c:v>-138.38708034075009</c:v>
                      </c:pt>
                      <c:pt idx="140">
                        <c:v>-138.38708034075131</c:v>
                      </c:pt>
                      <c:pt idx="141">
                        <c:v>-138.38708034076049</c:v>
                      </c:pt>
                      <c:pt idx="142">
                        <c:v>-138.38708034075592</c:v>
                      </c:pt>
                      <c:pt idx="143">
                        <c:v>-138.38708034075438</c:v>
                      </c:pt>
                      <c:pt idx="144">
                        <c:v>-138.38708034075407</c:v>
                      </c:pt>
                      <c:pt idx="145">
                        <c:v>-138.38708034075529</c:v>
                      </c:pt>
                      <c:pt idx="146">
                        <c:v>-138.38708034075592</c:v>
                      </c:pt>
                      <c:pt idx="147">
                        <c:v>-138.38708034075469</c:v>
                      </c:pt>
                      <c:pt idx="148">
                        <c:v>-138.38708034075071</c:v>
                      </c:pt>
                      <c:pt idx="149">
                        <c:v>-138.38708034075529</c:v>
                      </c:pt>
                      <c:pt idx="150">
                        <c:v>-138.38708034075469</c:v>
                      </c:pt>
                      <c:pt idx="151">
                        <c:v>-138.38708034075745</c:v>
                      </c:pt>
                      <c:pt idx="152">
                        <c:v>-138.38708034076143</c:v>
                      </c:pt>
                      <c:pt idx="153">
                        <c:v>-138.3870803407703</c:v>
                      </c:pt>
                      <c:pt idx="154">
                        <c:v>-138.38708034075958</c:v>
                      </c:pt>
                      <c:pt idx="155">
                        <c:v>-138.38708034074764</c:v>
                      </c:pt>
                      <c:pt idx="156">
                        <c:v>-139.99998046781653</c:v>
                      </c:pt>
                      <c:pt idx="157">
                        <c:v>-139.99998046781653</c:v>
                      </c:pt>
                      <c:pt idx="158">
                        <c:v>-139.99998046781653</c:v>
                      </c:pt>
                      <c:pt idx="159">
                        <c:v>-139.99998046781653</c:v>
                      </c:pt>
                      <c:pt idx="160">
                        <c:v>-139.99998046781653</c:v>
                      </c:pt>
                      <c:pt idx="161">
                        <c:v>-139.99998046781653</c:v>
                      </c:pt>
                      <c:pt idx="162">
                        <c:v>-139.99998046781653</c:v>
                      </c:pt>
                      <c:pt idx="163">
                        <c:v>-139.99998046781653</c:v>
                      </c:pt>
                      <c:pt idx="164">
                        <c:v>-139.99998046781653</c:v>
                      </c:pt>
                      <c:pt idx="165">
                        <c:v>-139.99998046781653</c:v>
                      </c:pt>
                      <c:pt idx="166">
                        <c:v>-139.99998046781653</c:v>
                      </c:pt>
                      <c:pt idx="167">
                        <c:v>-139.99998046781653</c:v>
                      </c:pt>
                      <c:pt idx="168">
                        <c:v>-139.99998046781653</c:v>
                      </c:pt>
                      <c:pt idx="169">
                        <c:v>-139.99998046781653</c:v>
                      </c:pt>
                      <c:pt idx="170">
                        <c:v>-139.99998046781653</c:v>
                      </c:pt>
                      <c:pt idx="171">
                        <c:v>-139.99998046781653</c:v>
                      </c:pt>
                      <c:pt idx="172">
                        <c:v>-139.99998046781653</c:v>
                      </c:pt>
                      <c:pt idx="173">
                        <c:v>-139.99998046781653</c:v>
                      </c:pt>
                      <c:pt idx="174">
                        <c:v>-139.99998046781653</c:v>
                      </c:pt>
                      <c:pt idx="175">
                        <c:v>-139.99998046781653</c:v>
                      </c:pt>
                      <c:pt idx="176">
                        <c:v>-139.99998046781653</c:v>
                      </c:pt>
                      <c:pt idx="177">
                        <c:v>-139.99998046781653</c:v>
                      </c:pt>
                      <c:pt idx="178">
                        <c:v>-139.99998046781653</c:v>
                      </c:pt>
                      <c:pt idx="179">
                        <c:v>-139.99998046781653</c:v>
                      </c:pt>
                      <c:pt idx="180">
                        <c:v>-139.99998046781653</c:v>
                      </c:pt>
                      <c:pt idx="181">
                        <c:v>-139.99998046781653</c:v>
                      </c:pt>
                      <c:pt idx="182">
                        <c:v>-139.99998046781653</c:v>
                      </c:pt>
                      <c:pt idx="183">
                        <c:v>-139.99998046781653</c:v>
                      </c:pt>
                      <c:pt idx="184">
                        <c:v>-139.99998046781653</c:v>
                      </c:pt>
                      <c:pt idx="185">
                        <c:v>-139.99998046781653</c:v>
                      </c:pt>
                      <c:pt idx="186">
                        <c:v>-139.99998046781653</c:v>
                      </c:pt>
                      <c:pt idx="187">
                        <c:v>-139.99998046781653</c:v>
                      </c:pt>
                      <c:pt idx="188">
                        <c:v>-139.99998046781653</c:v>
                      </c:pt>
                      <c:pt idx="189">
                        <c:v>-139.99998046781653</c:v>
                      </c:pt>
                      <c:pt idx="190">
                        <c:v>-139.99998046781653</c:v>
                      </c:pt>
                      <c:pt idx="191">
                        <c:v>-139.99998046781653</c:v>
                      </c:pt>
                      <c:pt idx="192">
                        <c:v>-139.99998046781653</c:v>
                      </c:pt>
                      <c:pt idx="193">
                        <c:v>-139.99998046781653</c:v>
                      </c:pt>
                      <c:pt idx="194">
                        <c:v>-139.99998046781653</c:v>
                      </c:pt>
                      <c:pt idx="195">
                        <c:v>-139.99998046781653</c:v>
                      </c:pt>
                      <c:pt idx="196">
                        <c:v>-139.99998046781653</c:v>
                      </c:pt>
                      <c:pt idx="197">
                        <c:v>-139.99998046781653</c:v>
                      </c:pt>
                      <c:pt idx="198">
                        <c:v>-139.99998046781653</c:v>
                      </c:pt>
                      <c:pt idx="199">
                        <c:v>-139.99998046781653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BA-4B27-90CF-23E3B49F7A94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Calculate!$T$2:$T$201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BA-4B27-90CF-23E3B49F7A94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Calculate!$U$2:$U$201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38.308094845483907</c:v>
                      </c:pt>
                      <c:pt idx="1">
                        <c:v>37.615035380338654</c:v>
                      </c:pt>
                      <c:pt idx="2">
                        <c:v>37.072614802114288</c:v>
                      </c:pt>
                      <c:pt idx="3">
                        <c:v>36.608170649627539</c:v>
                      </c:pt>
                      <c:pt idx="4">
                        <c:v>36.193557730285761</c:v>
                      </c:pt>
                      <c:pt idx="5">
                        <c:v>35.81434147582172</c:v>
                      </c:pt>
                      <c:pt idx="6">
                        <c:v>35.461947090582299</c:v>
                      </c:pt>
                      <c:pt idx="7">
                        <c:v>35.130787620838177</c:v>
                      </c:pt>
                      <c:pt idx="8">
                        <c:v>34.816982355271534</c:v>
                      </c:pt>
                      <c:pt idx="9">
                        <c:v>34.517705771598116</c:v>
                      </c:pt>
                      <c:pt idx="10">
                        <c:v>34.230824828722149</c:v>
                      </c:pt>
                      <c:pt idx="11">
                        <c:v>33.954682365890349</c:v>
                      </c:pt>
                      <c:pt idx="12">
                        <c:v>33.687960530156886</c:v>
                      </c:pt>
                      <c:pt idx="13">
                        <c:v>33.429590811410975</c:v>
                      </c:pt>
                      <c:pt idx="14">
                        <c:v>33.178692604122162</c:v>
                      </c:pt>
                      <c:pt idx="15">
                        <c:v>32.934529962417628</c:v>
                      </c:pt>
                      <c:pt idx="16">
                        <c:v>32.69648036744826</c:v>
                      </c:pt>
                      <c:pt idx="17">
                        <c:v>32.464011664340461</c:v>
                      </c:pt>
                      <c:pt idx="18">
                        <c:v>32.236664699479164</c:v>
                      </c:pt>
                      <c:pt idx="19">
                        <c:v>32.014040025235929</c:v>
                      </c:pt>
                      <c:pt idx="20">
                        <c:v>31.795787564809117</c:v>
                      </c:pt>
                      <c:pt idx="21">
                        <c:v>31.58159846946262</c:v>
                      </c:pt>
                      <c:pt idx="22">
                        <c:v>31.371198625164993</c:v>
                      </c:pt>
                      <c:pt idx="23">
                        <c:v>31.164343417807942</c:v>
                      </c:pt>
                      <c:pt idx="24">
                        <c:v>30.960813471064895</c:v>
                      </c:pt>
                      <c:pt idx="25">
                        <c:v>30.760411144758933</c:v>
                      </c:pt>
                      <c:pt idx="26">
                        <c:v>30.562957634170573</c:v>
                      </c:pt>
                      <c:pt idx="27">
                        <c:v>30.368290548831339</c:v>
                      </c:pt>
                      <c:pt idx="28">
                        <c:v>30.176261877372099</c:v>
                      </c:pt>
                      <c:pt idx="29">
                        <c:v>29.986736265738102</c:v>
                      </c:pt>
                      <c:pt idx="30">
                        <c:v>29.799589551748426</c:v>
                      </c:pt>
                      <c:pt idx="31">
                        <c:v>29.614707510842265</c:v>
                      </c:pt>
                      <c:pt idx="32">
                        <c:v>29.431984776956028</c:v>
                      </c:pt>
                      <c:pt idx="33">
                        <c:v>29.251323909548901</c:v>
                      </c:pt>
                      <c:pt idx="34">
                        <c:v>29.072634583280916</c:v>
                      </c:pt>
                      <c:pt idx="35">
                        <c:v>28.895832881214218</c:v>
                      </c:pt>
                      <c:pt idx="36">
                        <c:v>28.720840675774355</c:v>
                      </c:pt>
                      <c:pt idx="37">
                        <c:v>28.547585084570358</c:v>
                      </c:pt>
                      <c:pt idx="38">
                        <c:v>28.375997990239441</c:v>
                      </c:pt>
                      <c:pt idx="39">
                        <c:v>28.206015615367306</c:v>
                      </c:pt>
                      <c:pt idx="40">
                        <c:v>28.037578144985545</c:v>
                      </c:pt>
                      <c:pt idx="41">
                        <c:v>27.870629390238349</c:v>
                      </c:pt>
                      <c:pt idx="42">
                        <c:v>27.705116487888702</c:v>
                      </c:pt>
                      <c:pt idx="43">
                        <c:v>27.540989631114172</c:v>
                      </c:pt>
                      <c:pt idx="44">
                        <c:v>27.378201827689423</c:v>
                      </c:pt>
                      <c:pt idx="45">
                        <c:v>27.216708682217302</c:v>
                      </c:pt>
                      <c:pt idx="46">
                        <c:v>27.056468199551659</c:v>
                      </c:pt>
                      <c:pt idx="47">
                        <c:v>26.897440606955968</c:v>
                      </c:pt>
                      <c:pt idx="48">
                        <c:v>26.739588192863124</c:v>
                      </c:pt>
                      <c:pt idx="49">
                        <c:v>26.582875160349531</c:v>
                      </c:pt>
                      <c:pt idx="50">
                        <c:v>26.427267493750918</c:v>
                      </c:pt>
                      <c:pt idx="51">
                        <c:v>26.272732836986918</c:v>
                      </c:pt>
                      <c:pt idx="52">
                        <c:v>26.119240382365973</c:v>
                      </c:pt>
                      <c:pt idx="53">
                        <c:v>25.966760768798281</c:v>
                      </c:pt>
                      <c:pt idx="54">
                        <c:v>25.815265988454598</c:v>
                      </c:pt>
                      <c:pt idx="55">
                        <c:v>25.664729300995816</c:v>
                      </c:pt>
                      <c:pt idx="56">
                        <c:v>25.515125154720835</c:v>
                      </c:pt>
                      <c:pt idx="57">
                        <c:v>25.36642911388418</c:v>
                      </c:pt>
                      <c:pt idx="58">
                        <c:v>25.218617791597296</c:v>
                      </c:pt>
                      <c:pt idx="59">
                        <c:v>25.071668787920842</c:v>
                      </c:pt>
                      <c:pt idx="60">
                        <c:v>24.925560632459806</c:v>
                      </c:pt>
                      <c:pt idx="61">
                        <c:v>24.78027273127168</c:v>
                      </c:pt>
                      <c:pt idx="62">
                        <c:v>24.635785317588955</c:v>
                      </c:pt>
                      <c:pt idx="63">
                        <c:v>24.492079406016387</c:v>
                      </c:pt>
                      <c:pt idx="64">
                        <c:v>24.349136749959229</c:v>
                      </c:pt>
                      <c:pt idx="65">
                        <c:v>24.206939802027279</c:v>
                      </c:pt>
                      <c:pt idx="66">
                        <c:v>24.065471677033855</c:v>
                      </c:pt>
                      <c:pt idx="67">
                        <c:v>23.924716117577518</c:v>
                      </c:pt>
                      <c:pt idx="68">
                        <c:v>23.784657461809559</c:v>
                      </c:pt>
                      <c:pt idx="69">
                        <c:v>23.645280613343985</c:v>
                      </c:pt>
                      <c:pt idx="70">
                        <c:v>23.506571013098792</c:v>
                      </c:pt>
                      <c:pt idx="71">
                        <c:v>23.368514612858078</c:v>
                      </c:pt>
                      <c:pt idx="72">
                        <c:v>23.231097850560388</c:v>
                      </c:pt>
                      <c:pt idx="73">
                        <c:v>23.09430762704875</c:v>
                      </c:pt>
                      <c:pt idx="74">
                        <c:v>22.958131284243308</c:v>
                      </c:pt>
                      <c:pt idx="75">
                        <c:v>22.822556584642726</c:v>
                      </c:pt>
                      <c:pt idx="76">
                        <c:v>22.687571691990684</c:v>
                      </c:pt>
                      <c:pt idx="77">
                        <c:v>22.553165153136263</c:v>
                      </c:pt>
                      <c:pt idx="78">
                        <c:v>22.419325880835316</c:v>
                      </c:pt>
                      <c:pt idx="79">
                        <c:v>22.28604313765085</c:v>
                      </c:pt>
                      <c:pt idx="80">
                        <c:v>22.15330652066524</c:v>
                      </c:pt>
                      <c:pt idx="81">
                        <c:v>22.021105947055645</c:v>
                      </c:pt>
                      <c:pt idx="82">
                        <c:v>21.889431640514005</c:v>
                      </c:pt>
                      <c:pt idx="83">
                        <c:v>21.758274118302111</c:v>
                      </c:pt>
                      <c:pt idx="84">
                        <c:v>21.627624179111393</c:v>
                      </c:pt>
                      <c:pt idx="85">
                        <c:v>21.497472891481721</c:v>
                      </c:pt>
                      <c:pt idx="86">
                        <c:v>21.367811582828054</c:v>
                      </c:pt>
                      <c:pt idx="87">
                        <c:v>21.238631829105245</c:v>
                      </c:pt>
                      <c:pt idx="88">
                        <c:v>21.109925444916257</c:v>
                      </c:pt>
                      <c:pt idx="89">
                        <c:v>20.981684474146988</c:v>
                      </c:pt>
                      <c:pt idx="90">
                        <c:v>20.853901181101378</c:v>
                      </c:pt>
                      <c:pt idx="91">
                        <c:v>20.726568042019096</c:v>
                      </c:pt>
                      <c:pt idx="92">
                        <c:v>20.599677737052104</c:v>
                      </c:pt>
                      <c:pt idx="93">
                        <c:v>20.473223142612298</c:v>
                      </c:pt>
                      <c:pt idx="94">
                        <c:v>20.347197324067679</c:v>
                      </c:pt>
                      <c:pt idx="95">
                        <c:v>20.221593528803908</c:v>
                      </c:pt>
                      <c:pt idx="96">
                        <c:v>20.096405179612162</c:v>
                      </c:pt>
                      <c:pt idx="97">
                        <c:v>19.971625868374815</c:v>
                      </c:pt>
                      <c:pt idx="98">
                        <c:v>19.847249350019325</c:v>
                      </c:pt>
                      <c:pt idx="99">
                        <c:v>19.723269536820396</c:v>
                      </c:pt>
                      <c:pt idx="100">
                        <c:v>19.59968049284052</c:v>
                      </c:pt>
                      <c:pt idx="101">
                        <c:v>19.476476428733633</c:v>
                      </c:pt>
                      <c:pt idx="102">
                        <c:v>19.353651696706777</c:v>
                      </c:pt>
                      <c:pt idx="103">
                        <c:v>19.231200785705568</c:v>
                      </c:pt>
                      <c:pt idx="104">
                        <c:v>19.109118316875964</c:v>
                      </c:pt>
                      <c:pt idx="105">
                        <c:v>18.987399039093134</c:v>
                      </c:pt>
                      <c:pt idx="106">
                        <c:v>18.866037824816829</c:v>
                      </c:pt>
                      <c:pt idx="107">
                        <c:v>18.745029666033972</c:v>
                      </c:pt>
                      <c:pt idx="108">
                        <c:v>18.624369670380503</c:v>
                      </c:pt>
                      <c:pt idx="109">
                        <c:v>18.504053057471893</c:v>
                      </c:pt>
                      <c:pt idx="110">
                        <c:v>18.384075155297268</c:v>
                      </c:pt>
                      <c:pt idx="111">
                        <c:v>18.264431396853752</c:v>
                      </c:pt>
                      <c:pt idx="112">
                        <c:v>18.145117316868181</c:v>
                      </c:pt>
                      <c:pt idx="113">
                        <c:v>18.026128548634404</c:v>
                      </c:pt>
                      <c:pt idx="114">
                        <c:v>17.907460820994501</c:v>
                      </c:pt>
                      <c:pt idx="115">
                        <c:v>17.789109955430746</c:v>
                      </c:pt>
                      <c:pt idx="116">
                        <c:v>17.671071863329999</c:v>
                      </c:pt>
                      <c:pt idx="117">
                        <c:v>17.553342543219301</c:v>
                      </c:pt>
                      <c:pt idx="118">
                        <c:v>17.435918078251362</c:v>
                      </c:pt>
                      <c:pt idx="119">
                        <c:v>17.318794633669143</c:v>
                      </c:pt>
                      <c:pt idx="120">
                        <c:v>17.201968454470176</c:v>
                      </c:pt>
                      <c:pt idx="121">
                        <c:v>17.085435863074196</c:v>
                      </c:pt>
                      <c:pt idx="122">
                        <c:v>16.969193257076498</c:v>
                      </c:pt>
                      <c:pt idx="123">
                        <c:v>16.853237107190836</c:v>
                      </c:pt>
                      <c:pt idx="124">
                        <c:v>16.737563955126234</c:v>
                      </c:pt>
                      <c:pt idx="125">
                        <c:v>16.622170411605708</c:v>
                      </c:pt>
                      <c:pt idx="126">
                        <c:v>16.507053154473653</c:v>
                      </c:pt>
                      <c:pt idx="127">
                        <c:v>16.392208926889239</c:v>
                      </c:pt>
                      <c:pt idx="128">
                        <c:v>16.277634535423886</c:v>
                      </c:pt>
                      <c:pt idx="129">
                        <c:v>16.163326848477539</c:v>
                      </c:pt>
                      <c:pt idx="130">
                        <c:v>16.049282794541</c:v>
                      </c:pt>
                      <c:pt idx="131">
                        <c:v>15.935499360604865</c:v>
                      </c:pt>
                      <c:pt idx="132">
                        <c:v>15.821973590638578</c:v>
                      </c:pt>
                      <c:pt idx="133">
                        <c:v>15.708702584037837</c:v>
                      </c:pt>
                      <c:pt idx="134">
                        <c:v>15.595683494233441</c:v>
                      </c:pt>
                      <c:pt idx="135">
                        <c:v>15.482913527293988</c:v>
                      </c:pt>
                      <c:pt idx="136">
                        <c:v>15.370389940530274</c:v>
                      </c:pt>
                      <c:pt idx="137">
                        <c:v>15.258110041212703</c:v>
                      </c:pt>
                      <c:pt idx="138">
                        <c:v>15.146071185303384</c:v>
                      </c:pt>
                      <c:pt idx="139">
                        <c:v>15.034270776256662</c:v>
                      </c:pt>
                      <c:pt idx="140">
                        <c:v>14.922706263797707</c:v>
                      </c:pt>
                      <c:pt idx="141">
                        <c:v>14.81137514279429</c:v>
                      </c:pt>
                      <c:pt idx="142">
                        <c:v>14.700274952116757</c:v>
                      </c:pt>
                      <c:pt idx="143">
                        <c:v>14.589403273626118</c:v>
                      </c:pt>
                      <c:pt idx="144">
                        <c:v>14.478757731074793</c:v>
                      </c:pt>
                      <c:pt idx="145">
                        <c:v>14.368335989117455</c:v>
                      </c:pt>
                      <c:pt idx="146">
                        <c:v>14.258135752327547</c:v>
                      </c:pt>
                      <c:pt idx="147">
                        <c:v>14.148154764251785</c:v>
                      </c:pt>
                      <c:pt idx="148">
                        <c:v>14.038390806489417</c:v>
                      </c:pt>
                      <c:pt idx="149">
                        <c:v>13.928841697811791</c:v>
                      </c:pt>
                      <c:pt idx="150">
                        <c:v>13.819505293259439</c:v>
                      </c:pt>
                      <c:pt idx="151">
                        <c:v>13.710379483349485</c:v>
                      </c:pt>
                      <c:pt idx="152">
                        <c:v>13.601462193227633</c:v>
                      </c:pt>
                      <c:pt idx="153">
                        <c:v>13.492751381893584</c:v>
                      </c:pt>
                      <c:pt idx="154">
                        <c:v>13.384245041398941</c:v>
                      </c:pt>
                      <c:pt idx="155">
                        <c:v>13.275941196172468</c:v>
                      </c:pt>
                      <c:pt idx="156">
                        <c:v>-35.219261970683391</c:v>
                      </c:pt>
                      <c:pt idx="157">
                        <c:v>-35.32716662639146</c:v>
                      </c:pt>
                      <c:pt idx="158">
                        <c:v>-35.434874526733211</c:v>
                      </c:pt>
                      <c:pt idx="159">
                        <c:v>-35.542387525000294</c:v>
                      </c:pt>
                      <c:pt idx="160">
                        <c:v>-35.649707445571465</c:v>
                      </c:pt>
                      <c:pt idx="161">
                        <c:v>-35.75683608453997</c:v>
                      </c:pt>
                      <c:pt idx="162">
                        <c:v>-35.863775210323865</c:v>
                      </c:pt>
                      <c:pt idx="163">
                        <c:v>-35.970526564259245</c:v>
                      </c:pt>
                      <c:pt idx="164">
                        <c:v>-36.077091861177536</c:v>
                      </c:pt>
                      <c:pt idx="165">
                        <c:v>-36.183472789966629</c:v>
                      </c:pt>
                      <c:pt idx="166">
                        <c:v>-36.289671014117289</c:v>
                      </c:pt>
                      <c:pt idx="167">
                        <c:v>-36.395688172254523</c:v>
                      </c:pt>
                      <c:pt idx="168">
                        <c:v>-36.501525878654888</c:v>
                      </c:pt>
                      <c:pt idx="169">
                        <c:v>-36.607185723750064</c:v>
                      </c:pt>
                      <c:pt idx="170">
                        <c:v>-36.7126692746169</c:v>
                      </c:pt>
                      <c:pt idx="171">
                        <c:v>-36.817978075455045</c:v>
                      </c:pt>
                      <c:pt idx="172">
                        <c:v>-36.923113648051441</c:v>
                      </c:pt>
                      <c:pt idx="173">
                        <c:v>-37.028077492233422</c:v>
                      </c:pt>
                      <c:pt idx="174">
                        <c:v>-37.132871086309677</c:v>
                      </c:pt>
                      <c:pt idx="175">
                        <c:v>-37.237495887499961</c:v>
                      </c:pt>
                      <c:pt idx="176">
                        <c:v>-37.341953332353995</c:v>
                      </c:pt>
                      <c:pt idx="177">
                        <c:v>-37.446244837159583</c:v>
                      </c:pt>
                      <c:pt idx="178">
                        <c:v>-37.55037179834045</c:v>
                      </c:pt>
                      <c:pt idx="179">
                        <c:v>-37.654335592844149</c:v>
                      </c:pt>
                      <c:pt idx="180">
                        <c:v>-37.758137578520234</c:v>
                      </c:pt>
                      <c:pt idx="181">
                        <c:v>-37.861779094489009</c:v>
                      </c:pt>
                      <c:pt idx="182">
                        <c:v>-37.965261461501314</c:v>
                      </c:pt>
                      <c:pt idx="183">
                        <c:v>-38.068585982289278</c:v>
                      </c:pt>
                      <c:pt idx="184">
                        <c:v>-38.171753941908662</c:v>
                      </c:pt>
                      <c:pt idx="185">
                        <c:v>-38.274766608072838</c:v>
                      </c:pt>
                      <c:pt idx="186">
                        <c:v>-38.377625231478646</c:v>
                      </c:pt>
                      <c:pt idx="187">
                        <c:v>-38.480331046124547</c:v>
                      </c:pt>
                      <c:pt idx="188">
                        <c:v>-38.582885269620959</c:v>
                      </c:pt>
                      <c:pt idx="189">
                        <c:v>-38.685289103493488</c:v>
                      </c:pt>
                      <c:pt idx="190">
                        <c:v>-38.787543733478742</c:v>
                      </c:pt>
                      <c:pt idx="191">
                        <c:v>-38.88965032981335</c:v>
                      </c:pt>
                      <c:pt idx="192">
                        <c:v>-38.991610047516048</c:v>
                      </c:pt>
                      <c:pt idx="193">
                        <c:v>-39.093424026663456</c:v>
                      </c:pt>
                      <c:pt idx="194">
                        <c:v>-39.195093392659146</c:v>
                      </c:pt>
                      <c:pt idx="195">
                        <c:v>-39.296619256496825</c:v>
                      </c:pt>
                      <c:pt idx="196">
                        <c:v>-39.398002715017157</c:v>
                      </c:pt>
                      <c:pt idx="197">
                        <c:v>-39.499244851159091</c:v>
                      </c:pt>
                      <c:pt idx="198">
                        <c:v>-39.60034673420509</c:v>
                      </c:pt>
                      <c:pt idx="199">
                        <c:v>-39.701309420021232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4BA-4B27-90CF-23E3B49F7A94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4BA-4B27-90CF-23E3B49F7A94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6773.4430635566423</c:v>
                      </c:pt>
                      <c:pt idx="1">
                        <c:v>5774.3557684537445</c:v>
                      </c:pt>
                      <c:pt idx="2">
                        <c:v>5096.3762154556125</c:v>
                      </c:pt>
                      <c:pt idx="3">
                        <c:v>4579.4894722838671</c:v>
                      </c:pt>
                      <c:pt idx="4">
                        <c:v>4162.5146309170123</c:v>
                      </c:pt>
                      <c:pt idx="5">
                        <c:v>3814.4695078948416</c:v>
                      </c:pt>
                      <c:pt idx="6">
                        <c:v>3517.1809242607414</c:v>
                      </c:pt>
                      <c:pt idx="7">
                        <c:v>3258.9579893185219</c:v>
                      </c:pt>
                      <c:pt idx="8">
                        <c:v>3031.7838523808364</c:v>
                      </c:pt>
                      <c:pt idx="9">
                        <c:v>2829.8966637754634</c:v>
                      </c:pt>
                      <c:pt idx="10">
                        <c:v>2649.0031996721832</c:v>
                      </c:pt>
                      <c:pt idx="11">
                        <c:v>2485.8117503876683</c:v>
                      </c:pt>
                      <c:pt idx="12">
                        <c:v>2337.7391661798692</c:v>
                      </c:pt>
                      <c:pt idx="13">
                        <c:v>2202.7189149622709</c:v>
                      </c:pt>
                      <c:pt idx="14">
                        <c:v>2079.07071146513</c:v>
                      </c:pt>
                      <c:pt idx="15">
                        <c:v>1965.4092525246112</c:v>
                      </c:pt>
                      <c:pt idx="16">
                        <c:v>1860.5786653876182</c:v>
                      </c:pt>
                      <c:pt idx="17">
                        <c:v>1763.604370604321</c:v>
                      </c:pt>
                      <c:pt idx="18">
                        <c:v>1673.6570449858559</c:v>
                      </c:pt>
                      <c:pt idx="19">
                        <c:v>1590.0251820597648</c:v>
                      </c:pt>
                      <c:pt idx="20">
                        <c:v>1512.0938828947922</c:v>
                      </c:pt>
                      <c:pt idx="21">
                        <c:v>1439.3282416491118</c:v>
                      </c:pt>
                      <c:pt idx="22">
                        <c:v>1371.2601730351239</c:v>
                      </c:pt>
                      <c:pt idx="23">
                        <c:v>1307.4778547202086</c:v>
                      </c:pt>
                      <c:pt idx="24">
                        <c:v>1247.6171818293158</c:v>
                      </c:pt>
                      <c:pt idx="25">
                        <c:v>1191.3547877454382</c:v>
                      </c:pt>
                      <c:pt idx="26">
                        <c:v>1138.4022971219952</c:v>
                      </c:pt>
                      <c:pt idx="27">
                        <c:v>1088.501557721353</c:v>
                      </c:pt>
                      <c:pt idx="28">
                        <c:v>1041.4206567730903</c:v>
                      </c:pt>
                      <c:pt idx="29">
                        <c:v>996.95057130270175</c:v>
                      </c:pt>
                      <c:pt idx="30">
                        <c:v>954.90233469854627</c:v>
                      </c:pt>
                      <c:pt idx="31">
                        <c:v>915.10462663200815</c:v>
                      </c:pt>
                      <c:pt idx="32">
                        <c:v>877.40171245181079</c:v>
                      </c:pt>
                      <c:pt idx="33">
                        <c:v>841.65167284977599</c:v>
                      </c:pt>
                      <c:pt idx="34">
                        <c:v>807.72487601193154</c:v>
                      </c:pt>
                      <c:pt idx="35">
                        <c:v>775.50265343712385</c:v>
                      </c:pt>
                      <c:pt idx="36">
                        <c:v>744.8761476762495</c:v>
                      </c:pt>
                      <c:pt idx="37">
                        <c:v>715.74530590705933</c:v>
                      </c:pt>
                      <c:pt idx="38">
                        <c:v>688.01799775267989</c:v>
                      </c:pt>
                      <c:pt idx="39">
                        <c:v>661.60923941484907</c:v>
                      </c:pt>
                      <c:pt idx="40">
                        <c:v>636.44050914601792</c:v>
                      </c:pt>
                      <c:pt idx="41">
                        <c:v>612.43914147949147</c:v>
                      </c:pt>
                      <c:pt idx="42">
                        <c:v>589.53778962915396</c:v>
                      </c:pt>
                      <c:pt idx="43">
                        <c:v>567.67394709292228</c:v>
                      </c:pt>
                      <c:pt idx="44">
                        <c:v>546.78952083819377</c:v>
                      </c:pt>
                      <c:pt idx="45">
                        <c:v>526.83044956933168</c:v>
                      </c:pt>
                      <c:pt idx="46">
                        <c:v>507.74636151462596</c:v>
                      </c:pt>
                      <c:pt idx="47">
                        <c:v>489.49026695531751</c:v>
                      </c:pt>
                      <c:pt idx="48">
                        <c:v>472.01828137803341</c:v>
                      </c:pt>
                      <c:pt idx="49">
                        <c:v>455.28937568640225</c:v>
                      </c:pt>
                      <c:pt idx="50">
                        <c:v>439.26515038931478</c:v>
                      </c:pt>
                      <c:pt idx="51">
                        <c:v>423.90963107821165</c:v>
                      </c:pt>
                      <c:pt idx="52">
                        <c:v>409.18908285287421</c:v>
                      </c:pt>
                      <c:pt idx="53">
                        <c:v>395.07184164977076</c:v>
                      </c:pt>
                      <c:pt idx="54">
                        <c:v>381.52816067768777</c:v>
                      </c:pt>
                      <c:pt idx="55">
                        <c:v>368.53007038119296</c:v>
                      </c:pt>
                      <c:pt idx="56">
                        <c:v>356.05125055149301</c:v>
                      </c:pt>
                      <c:pt idx="57">
                        <c:v>344.06691335067495</c:v>
                      </c:pt>
                      <c:pt idx="58">
                        <c:v>332.55369616554174</c:v>
                      </c:pt>
                      <c:pt idx="59">
                        <c:v>321.48956333978379</c:v>
                      </c:pt>
                      <c:pt idx="60">
                        <c:v>310.85371591278118</c:v>
                      </c:pt>
                      <c:pt idx="61">
                        <c:v>300.6265086227902</c:v>
                      </c:pt>
                      <c:pt idx="62">
                        <c:v>290.78937348651453</c:v>
                      </c:pt>
                      <c:pt idx="63">
                        <c:v>281.32474934964159</c:v>
                      </c:pt>
                      <c:pt idx="64">
                        <c:v>272.21601687044932</c:v>
                      </c:pt>
                      <c:pt idx="65">
                        <c:v>263.44743845120183</c:v>
                      </c:pt>
                      <c:pt idx="66">
                        <c:v>255.00410267252363</c:v>
                      </c:pt>
                      <c:pt idx="67">
                        <c:v>246.8718728515766</c:v>
                      </c:pt>
                      <c:pt idx="68">
                        <c:v>239.03733935828137</c:v>
                      </c:pt>
                      <c:pt idx="69">
                        <c:v>231.48777537921529</c:v>
                      </c:pt>
                      <c:pt idx="70">
                        <c:v>224.21109583809806</c:v>
                      </c:pt>
                      <c:pt idx="71">
                        <c:v>217.19581920919072</c:v>
                      </c:pt>
                      <c:pt idx="72">
                        <c:v>210.43103199504208</c:v>
                      </c:pt>
                      <c:pt idx="73">
                        <c:v>203.90635564690339</c:v>
                      </c:pt>
                      <c:pt idx="74">
                        <c:v>197.61191573729235</c:v>
                      </c:pt>
                      <c:pt idx="75">
                        <c:v>191.53831320805591</c:v>
                      </c:pt>
                      <c:pt idx="76">
                        <c:v>185.67659752965218</c:v>
                      </c:pt>
                      <c:pt idx="77">
                        <c:v>180.01824163002283</c:v>
                      </c:pt>
                      <c:pt idx="78">
                        <c:v>174.5551184514137</c:v>
                      </c:pt>
                      <c:pt idx="79">
                        <c:v>169.27947902260431</c:v>
                      </c:pt>
                      <c:pt idx="80">
                        <c:v>164.18393192511653</c:v>
                      </c:pt>
                      <c:pt idx="81">
                        <c:v>159.26142405577335</c:v>
                      </c:pt>
                      <c:pt idx="82">
                        <c:v>154.50522259277619</c:v>
                      </c:pt>
                      <c:pt idx="83">
                        <c:v>149.90889807318106</c:v>
                      </c:pt>
                      <c:pt idx="84">
                        <c:v>145.46630851059345</c:v>
                      </c:pt>
                      <c:pt idx="85">
                        <c:v>141.17158447285561</c:v>
                      </c:pt>
                      <c:pt idx="86">
                        <c:v>137.01911505614399</c:v>
                      </c:pt>
                      <c:pt idx="87">
                        <c:v>133.00353469578801</c:v>
                      </c:pt>
                      <c:pt idx="88">
                        <c:v>129.11971075168447</c:v>
                      </c:pt>
                      <c:pt idx="89">
                        <c:v>125.3627318196995</c:v>
                      </c:pt>
                      <c:pt idx="90">
                        <c:v>121.72789672048528</c:v>
                      </c:pt>
                      <c:pt idx="91">
                        <c:v>118.21070411827294</c:v>
                      </c:pt>
                      <c:pt idx="92">
                        <c:v>114.80684273121807</c:v>
                      </c:pt>
                      <c:pt idx="93">
                        <c:v>111.51218209304388</c:v>
                      </c:pt>
                      <c:pt idx="94">
                        <c:v>108.32276383053336</c:v>
                      </c:pt>
                      <c:pt idx="95">
                        <c:v>105.23479342492266</c:v>
                      </c:pt>
                      <c:pt idx="96">
                        <c:v>102.24463242605681</c:v>
                      </c:pt>
                      <c:pt idx="97">
                        <c:v>99.348791090683008</c:v>
                      </c:pt>
                      <c:pt idx="98">
                        <c:v>96.543921418272532</c:v>
                      </c:pt>
                      <c:pt idx="99">
                        <c:v>93.826810562016178</c:v>
                      </c:pt>
                      <c:pt idx="100">
                        <c:v>91.19437458775711</c:v>
                      </c:pt>
                      <c:pt idx="101">
                        <c:v>88.643652565007969</c:v>
                      </c:pt>
                      <c:pt idx="102">
                        <c:v>86.171800965953466</c:v>
                      </c:pt>
                      <c:pt idx="103">
                        <c:v>83.776088355801292</c:v>
                      </c:pt>
                      <c:pt idx="104">
                        <c:v>81.453890358447865</c:v>
                      </c:pt>
                      <c:pt idx="105">
                        <c:v>79.202684877524447</c:v>
                      </c:pt>
                      <c:pt idx="106">
                        <c:v>77.020047563079615</c:v>
                      </c:pt>
                      <c:pt idx="107">
                        <c:v>74.903647505415094</c:v>
                      </c:pt>
                      <c:pt idx="108">
                        <c:v>72.851243144981453</c:v>
                      </c:pt>
                      <c:pt idx="109">
                        <c:v>70.86067838664718</c:v>
                      </c:pt>
                      <c:pt idx="110">
                        <c:v>68.929878904530909</c:v>
                      </c:pt>
                      <c:pt idx="111">
                        <c:v>67.056848629766293</c:v>
                      </c:pt>
                      <c:pt idx="112">
                        <c:v>65.239666408643259</c:v>
                      </c:pt>
                      <c:pt idx="113">
                        <c:v>63.476482822343911</c:v>
                      </c:pt>
                      <c:pt idx="114">
                        <c:v>61.765517159948573</c:v>
                      </c:pt>
                      <c:pt idx="115">
                        <c:v>60.105054535963745</c:v>
                      </c:pt>
                      <c:pt idx="116">
                        <c:v>58.493443145492954</c:v>
                      </c:pt>
                      <c:pt idx="117">
                        <c:v>56.929091646997293</c:v>
                      </c:pt>
                      <c:pt idx="118">
                        <c:v>55.410466669719362</c:v>
                      </c:pt>
                      <c:pt idx="119">
                        <c:v>53.936090435617693</c:v>
                      </c:pt>
                      <c:pt idx="120">
                        <c:v>52.504538492724961</c:v>
                      </c:pt>
                      <c:pt idx="121">
                        <c:v>51.114437551681824</c:v>
                      </c:pt>
                      <c:pt idx="122">
                        <c:v>49.764463421231426</c:v>
                      </c:pt>
                      <c:pt idx="123">
                        <c:v>48.453339038779831</c:v>
                      </c:pt>
                      <c:pt idx="124">
                        <c:v>47.179832588260993</c:v>
                      </c:pt>
                      <c:pt idx="125">
                        <c:v>45.942755703322966</c:v>
                      </c:pt>
                      <c:pt idx="126">
                        <c:v>44.740961750913456</c:v>
                      </c:pt>
                      <c:pt idx="127">
                        <c:v>43.573344191213536</c:v>
                      </c:pt>
                      <c:pt idx="128">
                        <c:v>42.438835008342593</c:v>
                      </c:pt>
                      <c:pt idx="129">
                        <c:v>41.336403212515187</c:v>
                      </c:pt>
                      <c:pt idx="130">
                        <c:v>40.265053405441051</c:v>
                      </c:pt>
                      <c:pt idx="131">
                        <c:v>39.223824408883722</c:v>
                      </c:pt>
                      <c:pt idx="132">
                        <c:v>38.211787952541314</c:v>
                      </c:pt>
                      <c:pt idx="133">
                        <c:v>37.228047417512236</c:v>
                      </c:pt>
                      <c:pt idx="134">
                        <c:v>36.271736634401947</c:v>
                      </c:pt>
                      <c:pt idx="135">
                        <c:v>35.342018731987217</c:v>
                      </c:pt>
                      <c:pt idx="136">
                        <c:v>34.438085034175955</c:v>
                      </c:pt>
                      <c:pt idx="137">
                        <c:v>33.559154003902748</c:v>
                      </c:pt>
                      <c:pt idx="138">
                        <c:v>32.704470230956574</c:v>
                      </c:pt>
                      <c:pt idx="139">
                        <c:v>31.873303462125122</c:v>
                      </c:pt>
                      <c:pt idx="140">
                        <c:v>31.064947671029525</c:v>
                      </c:pt>
                      <c:pt idx="141">
                        <c:v>30.278720166688252</c:v>
                      </c:pt>
                      <c:pt idx="142">
                        <c:v>29.513960738275674</c:v>
                      </c:pt>
                      <c:pt idx="143">
                        <c:v>28.77003083540178</c:v>
                      </c:pt>
                      <c:pt idx="144">
                        <c:v>28.046312780834153</c:v>
                      </c:pt>
                      <c:pt idx="145">
                        <c:v>27.342209015552331</c:v>
                      </c:pt>
                      <c:pt idx="146">
                        <c:v>26.657141373980931</c:v>
                      </c:pt>
                      <c:pt idx="147">
                        <c:v>25.990550388273324</c:v>
                      </c:pt>
                      <c:pt idx="148">
                        <c:v>25.341894620276477</c:v>
                      </c:pt>
                      <c:pt idx="149">
                        <c:v>24.710650020049393</c:v>
                      </c:pt>
                      <c:pt idx="150">
                        <c:v>24.09630930941373</c:v>
                      </c:pt>
                      <c:pt idx="151">
                        <c:v>23.498381390199434</c:v>
                      </c:pt>
                      <c:pt idx="152">
                        <c:v>22.916390775178591</c:v>
                      </c:pt>
                      <c:pt idx="153">
                        <c:v>22.349877041427025</c:v>
                      </c:pt>
                      <c:pt idx="154">
                        <c:v>21.798394304609506</c:v>
                      </c:pt>
                      <c:pt idx="155">
                        <c:v>21.261510714084775</c:v>
                      </c:pt>
                      <c:pt idx="156">
                        <c:v>3.0065871912192198E-4</c:v>
                      </c:pt>
                      <c:pt idx="157">
                        <c:v>2.9328060084578722E-4</c:v>
                      </c:pt>
                      <c:pt idx="158">
                        <c:v>2.8609650163956214E-4</c:v>
                      </c:pt>
                      <c:pt idx="159">
                        <c:v>2.7910090679002589E-4</c:v>
                      </c:pt>
                      <c:pt idx="160">
                        <c:v>2.7228847239829499E-4</c:v>
                      </c:pt>
                      <c:pt idx="161">
                        <c:v>2.6565401957471288E-4</c:v>
                      </c:pt>
                      <c:pt idx="162">
                        <c:v>2.591925288511997E-4</c:v>
                      </c:pt>
                      <c:pt idx="163">
                        <c:v>2.528991348021001E-4</c:v>
                      </c:pt>
                      <c:pt idx="164">
                        <c:v>2.4676912086489885E-4</c:v>
                      </c:pt>
                      <c:pt idx="165">
                        <c:v>2.4079791435265894E-4</c:v>
                      </c:pt>
                      <c:pt idx="166">
                        <c:v>2.349810816502979E-4</c:v>
                      </c:pt>
                      <c:pt idx="167">
                        <c:v>2.2931432358726936E-4</c:v>
                      </c:pt>
                      <c:pt idx="168">
                        <c:v>2.2379347097949284E-4</c:v>
                      </c:pt>
                      <c:pt idx="169">
                        <c:v>2.18414480333707E-4</c:v>
                      </c:pt>
                      <c:pt idx="170">
                        <c:v>2.131734297077465E-4</c:v>
                      </c:pt>
                      <c:pt idx="171">
                        <c:v>2.0806651472047601E-4</c:v>
                      </c:pt>
                      <c:pt idx="172">
                        <c:v>2.030900447054817E-4</c:v>
                      </c:pt>
                      <c:pt idx="173">
                        <c:v>1.9824043900275578E-4</c:v>
                      </c:pt>
                      <c:pt idx="174">
                        <c:v>1.9351422338298747E-4</c:v>
                      </c:pt>
                      <c:pt idx="175">
                        <c:v>1.8890802659921965E-4</c:v>
                      </c:pt>
                      <c:pt idx="176">
                        <c:v>1.8441857706088347E-4</c:v>
                      </c:pt>
                      <c:pt idx="177">
                        <c:v>1.8004269962545574E-4</c:v>
                      </c:pt>
                      <c:pt idx="178">
                        <c:v>1.7577731250316186E-4</c:v>
                      </c:pt>
                      <c:pt idx="179">
                        <c:v>1.7161942427035395E-4</c:v>
                      </c:pt>
                      <c:pt idx="180">
                        <c:v>1.6756613098737911E-4</c:v>
                      </c:pt>
                      <c:pt idx="181">
                        <c:v>1.6361461341693313E-4</c:v>
                      </c:pt>
                      <c:pt idx="182">
                        <c:v>1.597621343390464E-4</c:v>
                      </c:pt>
                      <c:pt idx="183">
                        <c:v>1.5600603595903811E-4</c:v>
                      </c:pt>
                      <c:pt idx="184">
                        <c:v>1.5234373740490376E-4</c:v>
                      </c:pt>
                      <c:pt idx="185">
                        <c:v>1.4877273231075655E-4</c:v>
                      </c:pt>
                      <c:pt idx="186">
                        <c:v>1.452905864830891E-4</c:v>
                      </c:pt>
                      <c:pt idx="187">
                        <c:v>1.4189493564674337E-4</c:v>
                      </c:pt>
                      <c:pt idx="188">
                        <c:v>1.3858348326761921E-4</c:v>
                      </c:pt>
                      <c:pt idx="189">
                        <c:v>1.3535399844925226E-4</c:v>
                      </c:pt>
                      <c:pt idx="190">
                        <c:v>1.3220431390053558E-4</c:v>
                      </c:pt>
                      <c:pt idx="191">
                        <c:v>1.2913232397194607E-4</c:v>
                      </c:pt>
                      <c:pt idx="192">
                        <c:v>1.2613598275776011E-4</c:v>
                      </c:pt>
                      <c:pt idx="193">
                        <c:v>1.2321330226182888E-4</c:v>
                      </c:pt>
                      <c:pt idx="194">
                        <c:v>1.2036235062460126E-4</c:v>
                      </c:pt>
                      <c:pt idx="195">
                        <c:v>1.175812504091516E-4</c:v>
                      </c:pt>
                      <c:pt idx="196">
                        <c:v>1.1486817694408097E-4</c:v>
                      </c:pt>
                      <c:pt idx="197">
                        <c:v>1.1222135672122258E-4</c:v>
                      </c:pt>
                      <c:pt idx="198">
                        <c:v>1.0963906584619055E-4</c:v>
                      </c:pt>
                      <c:pt idx="199">
                        <c:v>1.071196285398552E-4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4BA-4B27-90CF-23E3B49F7A94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1</xdr:row>
      <xdr:rowOff>257176</xdr:rowOff>
    </xdr:from>
    <xdr:to>
      <xdr:col>1</xdr:col>
      <xdr:colOff>6067425</xdr:colOff>
      <xdr:row>1</xdr:row>
      <xdr:rowOff>2115712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ADDC65-CAB5-4A5F-9EC7-AC0D9EF1E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38176"/>
          <a:ext cx="6477000" cy="1858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330476</xdr:colOff>
      <xdr:row>1</xdr:row>
      <xdr:rowOff>1</xdr:rowOff>
    </xdr:from>
    <xdr:to>
      <xdr:col>10</xdr:col>
      <xdr:colOff>610014</xdr:colOff>
      <xdr:row>19</xdr:row>
      <xdr:rowOff>10353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331303</xdr:colOff>
      <xdr:row>20</xdr:row>
      <xdr:rowOff>1</xdr:rowOff>
    </xdr:from>
    <xdr:to>
      <xdr:col>10</xdr:col>
      <xdr:colOff>610841</xdr:colOff>
      <xdr:row>39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0</xdr:colOff>
      <xdr:row>20</xdr:row>
      <xdr:rowOff>0</xdr:rowOff>
    </xdr:from>
    <xdr:to>
      <xdr:col>19</xdr:col>
      <xdr:colOff>9525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12</xdr:col>
      <xdr:colOff>0</xdr:colOff>
      <xdr:row>1</xdr:row>
      <xdr:rowOff>0</xdr:rowOff>
    </xdr:from>
    <xdr:to>
      <xdr:col>19</xdr:col>
      <xdr:colOff>10353</xdr:colOff>
      <xdr:row>18</xdr:row>
      <xdr:rowOff>186358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18</xdr:col>
      <xdr:colOff>169334</xdr:colOff>
      <xdr:row>23</xdr:row>
      <xdr:rowOff>105832</xdr:rowOff>
    </xdr:from>
    <xdr:to>
      <xdr:col>19</xdr:col>
      <xdr:colOff>52916</xdr:colOff>
      <xdr:row>24</xdr:row>
      <xdr:rowOff>126999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52917" y="4582582"/>
          <a:ext cx="497416" cy="2116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/>
            <a:t>[GHz]</a:t>
          </a:r>
        </a:p>
      </xdr:txBody>
    </xdr:sp>
    <xdr:clientData/>
  </xdr:twoCellAnchor>
  <xdr:twoCellAnchor>
    <xdr:from>
      <xdr:col>10</xdr:col>
      <xdr:colOff>179917</xdr:colOff>
      <xdr:row>23</xdr:row>
      <xdr:rowOff>116416</xdr:rowOff>
    </xdr:from>
    <xdr:to>
      <xdr:col>11</xdr:col>
      <xdr:colOff>84667</xdr:colOff>
      <xdr:row>24</xdr:row>
      <xdr:rowOff>158750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276167" y="4593166"/>
          <a:ext cx="518583" cy="23283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/>
            <a:t>[GHz]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0.89064</cdr:x>
      <cdr:y>0.41982</cdr:y>
    </cdr:from>
    <cdr:to>
      <cdr:x>0.98547</cdr:x>
      <cdr:y>0.47522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FA85E2-EAA5-40A3-A3E8-C67F134A0A3A}"/>
            </a:ext>
          </a:extLst>
        </cdr:cNvPr>
        <cdr:cNvSpPr txBox="1"/>
      </cdr:nvSpPr>
      <cdr:spPr>
        <a:xfrm xmlns:a="http://schemas.openxmlformats.org/drawingml/2006/main">
          <a:off x="3826934" y="1523999"/>
          <a:ext cx="407459" cy="20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[GHz]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0.88916</cdr:x>
      <cdr:y>0.1368</cdr:y>
    </cdr:from>
    <cdr:to>
      <cdr:x>0.98378</cdr:x>
      <cdr:y>0.19234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B1B9CB-E3DE-422C-AB7A-A1FACB819926}"/>
            </a:ext>
          </a:extLst>
        </cdr:cNvPr>
        <cdr:cNvSpPr txBox="1"/>
      </cdr:nvSpPr>
      <cdr:spPr>
        <a:xfrm xmlns:a="http://schemas.openxmlformats.org/drawingml/2006/main">
          <a:off x="3829050" y="495300"/>
          <a:ext cx="407459" cy="20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[GHz]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jonsson\Documents\C_Work\CableModels\RHJ3TransmissionLineCalculator_V0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_3cy_01_0920"/>
      <sheetName val="Cat6 191-031179-00"/>
      <sheetName val="Coax 390058D"/>
      <sheetName val="Info"/>
    </sheetNames>
    <sheetDataSet>
      <sheetData sheetId="0">
        <row r="2">
          <cell r="M2">
            <v>10</v>
          </cell>
        </row>
      </sheetData>
      <sheetData sheetId="1">
        <row r="15">
          <cell r="E15">
            <v>0.36866957473227213</v>
          </cell>
        </row>
      </sheetData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4469ED-EAA1-4FEC-9B23-6790977968DA}" name="Calculate" displayName="Calculate" ref="A1:X201" totalsRowShown="0" headerRowDxfId="55">
  <autoFilter ref="A1:X201" xr:uid="{0A961ECD-773E-4E19-B8FC-6A71E8292755}"/>
  <tableColumns count="24">
    <tableColumn id="1" xr3:uid="{47574F73-CBC6-4BF7-B7C1-FEDC988AC86C}" name="Freq" dataDxfId="54">
      <calculatedColumnFormula>f_step+A1</calculatedColumnFormula>
    </tableColumn>
    <tableColumn id="23" xr3:uid="{B50C0AEE-F7AA-4C99-A709-B88BF8AA97E1}" name="dF" dataDxfId="53">
      <calculatedColumnFormula>Calculate[[#This Row],[Freq]]-A1</calculatedColumnFormula>
    </tableColumn>
    <tableColumn id="2" xr3:uid="{3E220E03-AA9C-441E-8CB3-0D3B1AC3CA46}" name="IL" dataDxfId="52">
      <calculatedColumnFormula>Channels!B2*cable_length</calculatedColumnFormula>
    </tableColumn>
    <tableColumn id="3" xr3:uid="{80E0941B-B6C4-4CCC-B882-14873A9358CE}" name="Tx_PSD_us" dataDxfId="51">
      <calculatedColumnFormula>Masks!A2</calculatedColumnFormula>
    </tableColumn>
    <tableColumn id="4" xr3:uid="{81AF2FB5-DEA6-4534-A4FE-396951E622C6}" name="Tx_PSD_ds" dataDxfId="50">
      <calculatedColumnFormula>Masks!B2</calculatedColumnFormula>
    </tableColumn>
    <tableColumn id="5" xr3:uid="{FF233492-D23C-49FC-BC2B-8C6BEB5533B8}" name="Rx_PSD_us" dataDxfId="49">
      <calculatedColumnFormula>Calculate[[#This Row],[Tx_PSD_us]]+Calculate[[#This Row],[IL]]</calculatedColumnFormula>
    </tableColumn>
    <tableColumn id="6" xr3:uid="{72179AEB-25C3-4E92-BE10-7CF0075708B0}" name="Rx_PSD_ds" dataDxfId="48">
      <calculatedColumnFormula>Calculate[[#This Row],[Tx_PSD_ds]]+Calculate[[#This Row],[IL]]</calculatedColumnFormula>
    </tableColumn>
    <tableColumn id="7" xr3:uid="{36E9EEA4-1BC1-4008-8604-FE887075A0F7}" name="Echo_transfer_us" dataDxfId="47">
      <calculatedColumnFormula>Masks[[#This Row],[channel_echo]]</calculatedColumnFormula>
    </tableColumn>
    <tableColumn id="8" xr3:uid="{B6079762-149E-46C1-B44B-30B2E51E09A0}" name="Echo_transfer_ds" dataDxfId="46">
      <calculatedColumnFormula>Masks[[#This Row],[channel_echo]]</calculatedColumnFormula>
    </tableColumn>
    <tableColumn id="9" xr3:uid="{F103180A-51B2-4EA4-884A-32E1D88F00F4}" name="Rx_echo_us" dataDxfId="45">
      <calculatedColumnFormula>Calculate[[#This Row],[Echo_transfer_us]]+Calculate[[#This Row],[Tx_PSD_ds]]</calculatedColumnFormula>
    </tableColumn>
    <tableColumn id="10" xr3:uid="{31808393-F5FB-4A73-8C95-B0A515DFFCC9}" name="Rx_echo_ds" dataDxfId="44">
      <calculatedColumnFormula>Calculate[[#This Row],[Echo_transfer_ds]]+Calculate[[#This Row],[Tx_PSD_us]]</calculatedColumnFormula>
    </tableColumn>
    <tableColumn id="11" xr3:uid="{A17B85B3-208D-4C89-8263-2CB5C2D6C8B0}" name="AFE_noise_us" dataDxfId="43">
      <calculatedColumnFormula>AFE_noise_us</calculatedColumnFormula>
    </tableColumn>
    <tableColumn id="12" xr3:uid="{F3FEFAF2-B03E-460B-AEC7-F48C1540BC08}" name="AFE_noise_ds" dataDxfId="42">
      <calculatedColumnFormula>AFE_noise_ds</calculatedColumnFormula>
    </tableColumn>
    <tableColumn id="13" xr3:uid="{C1E1C18D-BD0A-4AE9-83F0-1CB649E68713}" name="EC_cancelation_us" dataDxfId="41">
      <calculatedColumnFormula>EC_cancel_us</calculatedColumnFormula>
    </tableColumn>
    <tableColumn id="14" xr3:uid="{435D83B7-B99B-4E54-9DB0-31D9E1323947}" name="EC_cancelation_ds" dataDxfId="40">
      <calculatedColumnFormula>EC_cancel_ds</calculatedColumnFormula>
    </tableColumn>
    <tableColumn id="15" xr3:uid="{77C295E3-2526-4566-A39D-DD1131031E59}" name="Echo_res_us" dataDxfId="39">
      <calculatedColumnFormula>10*LOG10((10^(Calculate[[#This Row],[Rx_echo_us]]/10))-(10^((Masks[[#This Row],[connector_echo]]+Calculate[[#This Row],[Tx_PSD_ds]])/10))*EC_conector_ratio_us)-Calculate[[#This Row],[EC_cancelation_us]]</calculatedColumnFormula>
    </tableColumn>
    <tableColumn id="16" xr3:uid="{EA84BFAA-C5A6-44B1-A792-08E51AD003A6}" name="Echo_res_ds" dataDxfId="38">
      <calculatedColumnFormula>10*LOG10((10^(Calculate[[#This Row],[Rx_echo_ds]]/10))-(10^((Masks[[#This Row],[connector_echo]]+Calculate[[#This Row],[Tx_PSD_us]])/10))*EC_conector_ratio_ds)-Calculate[[#This Row],[EC_cancelation_ds]]</calculatedColumnFormula>
    </tableColumn>
    <tableColumn id="17" xr3:uid="{91BD0798-F503-4361-9589-07C5E9EF6BF5}" name="Noise_us" dataDxfId="37">
      <calculatedColumnFormula>10*LOG10(POWER(10,Calculate[[#This Row],[AFE_noise_us]]/10)+POWER(10,Calculate[[#This Row],[Echo_res_us]]/10))</calculatedColumnFormula>
    </tableColumn>
    <tableColumn id="18" xr3:uid="{F2A3AD70-6EFA-4C29-B25D-F262C6BE2D77}" name="Noise_ds" dataDxfId="36">
      <calculatedColumnFormula>10*LOG10(POWER(10,Calculate[[#This Row],[AFE_noise_ds]]/10)+POWER(10,Calculate[[#This Row],[Echo_res_ds]]/10))</calculatedColumnFormula>
    </tableColumn>
    <tableColumn id="19" xr3:uid="{501A53E3-DA3D-4AC6-9AE6-A1F7872D77EC}" name="SNRdB_us" dataDxfId="35">
      <calculatedColumnFormula>Calculate[[#This Row],[Rx_PSD_us]]-Calculate[[#This Row],[Noise_us]]</calculatedColumnFormula>
    </tableColumn>
    <tableColumn id="20" xr3:uid="{B2378474-D3F7-4C78-9DC9-460BE51D760D}" name="SNRdB_ds" dataDxfId="34">
      <calculatedColumnFormula>Calculate[[#This Row],[Rx_PSD_ds]]-Calculate[[#This Row],[Noise_ds]]</calculatedColumnFormula>
    </tableColumn>
    <tableColumn id="21" xr3:uid="{505EABE6-7D5E-43E4-8AB5-97AE444007C7}" name="SNR_us" dataDxfId="33">
      <calculatedColumnFormula>POWER(10,Calculate[[#This Row],[SNRdB_us]]/10)</calculatedColumnFormula>
    </tableColumn>
    <tableColumn id="22" xr3:uid="{C3EF8758-3A22-4307-A1D6-22A9CFBE7087}" name="SNR_ds" dataDxfId="32">
      <calculatedColumnFormula>POWER(10,Calculate[[#This Row],[SNRdB_ds]]/10)</calculatedColumnFormula>
    </tableColumn>
    <tableColumn id="24" xr3:uid="{F4C329B4-5053-466B-8F41-D91541AC9E1F}" name="zimmerman_mask" dataDxfId="31">
      <calculatedColumnFormula>-(0.002*Calculate[[#This Row],[Freq]]/1000000/2.5+0.68*(Calculate[[#This Row],[Freq]]/1000000/2.5)^0.45)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2F02FB-8ADF-4CD4-8506-6D329B314FF2}" name="Masks" displayName="Masks" ref="D1:Q201" totalsRowShown="0">
  <autoFilter ref="D1:Q201" xr:uid="{37D3EF19-2215-474F-B1C2-4268F3999783}"/>
  <tableColumns count="14">
    <tableColumn id="1" xr3:uid="{F854A5DD-2725-40E3-BD9E-EAAFA64FD14B}" name="f">
      <calculatedColumnFormula>Calculate[[#This Row],[Freq]]</calculatedColumnFormula>
    </tableColumn>
    <tableColumn id="2" xr3:uid="{D3A8C59C-5BA8-4F32-A305-B0D31C7A8CA7}" name="eq149-14_us" dataDxfId="30">
      <calculatedColumnFormula>MIN(-90, -89-Masks[[#This Row],[f]]/(600000000*S_ch_us),-82-Masks[[#This Row],[f]]/(250000000*S_ch_us))-K_ch_UPSD_us</calculatedColumnFormula>
    </tableColumn>
    <tableColumn id="3" xr3:uid="{FB1C3C79-C410-4CFF-9183-D85C47C02DE8}" name="eq149-14_ds" dataDxfId="29">
      <calculatedColumnFormula>MIN(-90, -89-Masks[[#This Row],[f]]/(600000000*S_ch_ds),-82-Masks[[#This Row],[f]]/(250000000*S_ch_ds))-K_ch_UPSD_ds</calculatedColumnFormula>
    </tableColumn>
    <tableColumn id="4" xr3:uid="{E2273BFF-902E-4A37-8AF4-4E61A8A4537F}" name="eq149-22_us" dataDxfId="28">
      <calculatedColumnFormula>-MAX(MIN(20,20-10*LOG10(2*Masks[[#This Row],[f]]/480000000)),12-3)</calculatedColumnFormula>
    </tableColumn>
    <tableColumn id="5" xr3:uid="{7FED1B31-934A-4E8B-B363-F55FA81BA2F8}" name="eq149-22_ds" dataDxfId="27">
      <calculatedColumnFormula>-MAX(MIN(20,20-10*LOG10(2*Masks[[#This Row],[f]]/480000000)),12-3)</calculatedColumnFormula>
    </tableColumn>
    <tableColumn id="6" xr3:uid="{3E836505-666C-4F55-BB1F-1C3E939CCE19}" name="PSD_brick_us" dataDxfId="26">
      <calculatedColumnFormula>10*LOG10(POWER(10,Tx_power_us/10)/F_Nyquist_us)+IF(Masks[[#This Row],[f]]&gt;F_Nyquist_us,-50)</calculatedColumnFormula>
    </tableColumn>
    <tableColumn id="7" xr3:uid="{10189056-9DF3-4ADA-A872-001D3789AE52}" name="PSD_brick_ds" dataDxfId="25">
      <calculatedColumnFormula>10*LOG10(POWER(10,Tx_power_ds/10)/F_Nyquist_ds)+IF(Masks[[#This Row],[f]]&gt;F_Nyquist_ds,-50)</calculatedColumnFormula>
    </tableColumn>
    <tableColumn id="8" xr3:uid="{9E72FDE4-2532-4D5A-A3A2-D6A5B71B12DB}" name="Inband_us" dataDxfId="24">
      <calculatedColumnFormula>IF(Masks[[#This Row],[f]]&gt;F_Nyquist_us,0,1)</calculatedColumnFormula>
    </tableColumn>
    <tableColumn id="9" xr3:uid="{029EF081-4008-4A2A-ADDE-5C8960154A2C}" name="Inband_ds" dataDxfId="23">
      <calculatedColumnFormula>IF(Masks[[#This Row],[f]]&gt;F_Nyquist_ds,0,1)</calculatedColumnFormula>
    </tableColumn>
    <tableColumn id="10" xr3:uid="{3EEA3C4E-028B-4898-ACBB-FD7C6CF28D71}" name="wire_echo" dataDxfId="22">
      <calculatedColumnFormula>Config!B$7</calculatedColumnFormula>
    </tableColumn>
    <tableColumn id="11" xr3:uid="{464684BA-24AF-4369-A32B-0BDC6F6558DC}" name="connector_echo" dataDxfId="21">
      <calculatedColumnFormula>IF(Config!B$8&gt;0,10*LOG10($T$1*Masks[[#This Row],[f]]+Config!B$8*0.00073),-1000)</calculatedColumnFormula>
    </tableColumn>
    <tableColumn id="12" xr3:uid="{EC286D06-D00B-4B41-AC6E-CAAE5E3FEEEE}" name="channel_echo" dataDxfId="20">
      <calculatedColumnFormula>10*LOG10((10^(Masks[[#This Row],[wire_echo]]/10))+(10^(Masks[[#This Row],[connector_echo]]/10)))</calculatedColumnFormula>
    </tableColumn>
    <tableColumn id="17" xr3:uid="{B2364BD0-4571-4F0D-910A-68696E4077DA}" name="Column2" dataDxfId="19"/>
    <tableColumn id="13" xr3:uid="{555E47B3-43A5-4072-BC08-D67465295425}" name="Column1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535D72-2D58-43C0-8339-88F56DC85C9F}" name="ConnectorEcho" displayName="ConnectorEcho" ref="S4:T8" totalsRowShown="0">
  <autoFilter ref="S4:T8" xr:uid="{C3251E75-74D3-4CFD-AEB7-F35179D916B7}"/>
  <tableColumns count="2">
    <tableColumn id="1" xr3:uid="{CCDF71F4-4CCC-44A8-B8AD-7B9FCA4937A8}" name="Difficulty "/>
    <tableColumn id="2" xr3:uid="{56E3B64D-632C-416B-8B25-B47492AF751A}" name="C0 Valu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E8F65C-94C9-4BF4-A105-B36484C3A541}" name="Channels_IL" displayName="Channels_IL" ref="D1:K201" totalsRowShown="0">
  <autoFilter ref="D1:K201" xr:uid="{9F96466D-1397-4B19-8999-A09F9699BD3D}"/>
  <tableColumns count="8">
    <tableColumn id="4" xr3:uid="{0D981EB8-359B-47BF-8B5A-C76E3395C952}" name="eq149-18" dataDxfId="17">
      <calculatedColumnFormula>N$3*(((1+N$5*(T-20))*$A2)^N$4) + N$2*$A2</calculatedColumnFormula>
    </tableColumn>
    <tableColumn id="2" xr3:uid="{DF4C0E77-B554-43E9-8459-906DFF9931BC}" name="mueller_3cy_01_10_14_20_target" dataDxfId="16">
      <calculatedColumnFormula>O$3*(((1+O$5*(T-20))*$A2)^O$4) + O$2*$A2</calculatedColumnFormula>
    </tableColumn>
    <tableColumn id="5" xr3:uid="{202A02A3-AB72-4DA6-A1AC-4977D1F3F395}" name="boyer_3cy_01_10_14_20_c1" dataDxfId="15">
      <calculatedColumnFormula>P$3*(((1+P$5*(T-20))*$A2)^P$4) + P$2*$A2</calculatedColumnFormula>
    </tableColumn>
    <tableColumn id="6" xr3:uid="{4C1D9859-7092-49A6-9A1E-FFA607F3A98D}" name="patel_3cy_01_0920" dataDxfId="14">
      <calculatedColumnFormula>Q$3*(((1+Q$5*(T-20))*$A2)^Q$4) + Q$2*$A2</calculatedColumnFormula>
    </tableColumn>
    <tableColumn id="7" xr3:uid="{024CCD4A-6257-432C-B016-7386DE27E6D7}" name="zimmerman_3cy_01a_1120" dataDxfId="13">
      <calculatedColumnFormula>R$3*(((1+R$5*(T-20))*$A2)^R$4) + R$2*$A2</calculatedColumnFormula>
    </tableColumn>
    <tableColumn id="8" xr3:uid="{4BDE14FF-5F33-48F7-9101-71611BC0CA0E}" name="mueller_3cy_01_12_01_20_sdp" dataDxfId="0">
      <calculatedColumnFormula>S$3*(((1+S$5*(T-20))*$A2)^S$4) + S$2*$A2</calculatedColumnFormula>
    </tableColumn>
    <tableColumn id="3" xr3:uid="{06CEA744-64F3-400F-BEE0-42B464D31A7E}" name="Column1" dataDxfId="12"/>
    <tableColumn id="1" xr3:uid="{0781E214-97D6-4C49-8CDB-ADE6124284C6}" name="Column2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5DB64-A1A0-4215-993A-7C58A94C1634}" name="Table1" displayName="Table1" ref="M1:U5" totalsRowShown="0">
  <autoFilter ref="M1:U5" xr:uid="{0A60E063-BC71-49B8-9CB5-FAB2DF825B70}"/>
  <tableColumns count="9">
    <tableColumn id="1" xr3:uid="{D95BA9C6-AB76-4AA7-BD29-9C88848AA4B6}" name="Parameters"/>
    <tableColumn id="5" xr3:uid="{97CB715A-9B00-4FC8-9B49-6462BEF8B8E3}" name="eq149-18" dataDxfId="10">
      <calculatedColumnFormula>-0.68/15</calculatedColumnFormula>
    </tableColumn>
    <tableColumn id="2" xr3:uid="{5230AA7C-32C8-4CFB-957A-D58CC6310268}" name="mueller_3cy_01_10_14_20_target" dataDxfId="9"/>
    <tableColumn id="3" xr3:uid="{F56341B1-4AFE-4F4D-A66E-D0A29429A29D}" name="boyer_3cy_01_10_14_20_c1" dataDxfId="8"/>
    <tableColumn id="4" xr3:uid="{1ABD9491-D040-42A7-BAE5-CD687314FA6D}" name="patel_3cy_01_0920" dataDxfId="7"/>
    <tableColumn id="8" xr3:uid="{49A575F5-57C7-4116-BFDE-40F55B40BABB}" name="zimmerman_3cy_01a_1120" dataDxfId="6"/>
    <tableColumn id="9" xr3:uid="{672548F3-480D-4E93-B55B-29FBB5AB0084}" name="mueller_3cy_01_12_01_20_sdp"/>
    <tableColumn id="7" xr3:uid="{CD0C7689-726F-4ED3-90C8-87C9F5FE5452}" name="Column1" dataDxfId="5"/>
    <tableColumn id="6" xr3:uid="{EDBEE414-3E78-4809-872B-D16505338BAD}" name="Column2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339B-BBD5-4D48-8B65-3A0755FA1393}">
  <dimension ref="A1:B102"/>
  <sheetViews>
    <sheetView tabSelected="1" workbookViewId="0">
      <selection sqref="A1:B1"/>
    </sheetView>
  </sheetViews>
  <sheetFormatPr defaultRowHeight="15" x14ac:dyDescent="0.25"/>
  <cols>
    <col min="1" max="1" width="27" customWidth="1"/>
    <col min="2" max="2" width="112.7109375" customWidth="1"/>
  </cols>
  <sheetData>
    <row r="1" spans="1:2" ht="30" customHeight="1" x14ac:dyDescent="0.25">
      <c r="A1" s="88" t="s">
        <v>153</v>
      </c>
      <c r="B1" s="88"/>
    </row>
    <row r="2" spans="1:2" ht="180" customHeight="1" x14ac:dyDescent="0.25">
      <c r="A2" s="89"/>
      <c r="B2" s="89"/>
    </row>
    <row r="3" spans="1:2" ht="36.75" customHeight="1" thickBot="1" x14ac:dyDescent="0.3">
      <c r="A3" s="96" t="s">
        <v>87</v>
      </c>
      <c r="B3" s="96"/>
    </row>
    <row r="4" spans="1:2" ht="36.75" customHeight="1" thickBot="1" x14ac:dyDescent="0.6">
      <c r="A4" s="90" t="s">
        <v>134</v>
      </c>
      <c r="B4" s="90"/>
    </row>
    <row r="5" spans="1:2" ht="36.75" customHeight="1" thickBot="1" x14ac:dyDescent="0.6">
      <c r="A5" s="91" t="s">
        <v>137</v>
      </c>
      <c r="B5" s="91"/>
    </row>
    <row r="6" spans="1:2" x14ac:dyDescent="0.25">
      <c r="A6" s="97" t="s">
        <v>57</v>
      </c>
      <c r="B6" s="98"/>
    </row>
    <row r="7" spans="1:2" x14ac:dyDescent="0.25">
      <c r="A7" s="17" t="s">
        <v>101</v>
      </c>
      <c r="B7" s="40" t="s">
        <v>102</v>
      </c>
    </row>
    <row r="8" spans="1:2" x14ac:dyDescent="0.25">
      <c r="A8" s="17" t="s">
        <v>39</v>
      </c>
      <c r="B8" s="41" t="s">
        <v>103</v>
      </c>
    </row>
    <row r="9" spans="1:2" x14ac:dyDescent="0.25">
      <c r="A9" s="17" t="s">
        <v>50</v>
      </c>
      <c r="B9" s="40" t="s">
        <v>104</v>
      </c>
    </row>
    <row r="10" spans="1:2" x14ac:dyDescent="0.25">
      <c r="A10" s="17" t="s">
        <v>53</v>
      </c>
      <c r="B10" s="40" t="s">
        <v>105</v>
      </c>
    </row>
    <row r="11" spans="1:2" x14ac:dyDescent="0.25">
      <c r="A11" s="17" t="s">
        <v>72</v>
      </c>
      <c r="B11" s="40" t="s">
        <v>106</v>
      </c>
    </row>
    <row r="12" spans="1:2" x14ac:dyDescent="0.25">
      <c r="A12" s="92" t="s">
        <v>58</v>
      </c>
      <c r="B12" s="93"/>
    </row>
    <row r="13" spans="1:2" x14ac:dyDescent="0.25">
      <c r="A13" s="17" t="s">
        <v>38</v>
      </c>
      <c r="B13" s="40" t="s">
        <v>107</v>
      </c>
    </row>
    <row r="14" spans="1:2" x14ac:dyDescent="0.25">
      <c r="A14" s="17" t="s">
        <v>40</v>
      </c>
      <c r="B14" s="40" t="s">
        <v>108</v>
      </c>
    </row>
    <row r="15" spans="1:2" x14ac:dyDescent="0.25">
      <c r="A15" s="17" t="s">
        <v>86</v>
      </c>
      <c r="B15" s="40" t="s">
        <v>109</v>
      </c>
    </row>
    <row r="16" spans="1:2" x14ac:dyDescent="0.25">
      <c r="A16" s="17" t="s">
        <v>110</v>
      </c>
      <c r="B16" s="42" t="s">
        <v>111</v>
      </c>
    </row>
    <row r="17" spans="1:2" x14ac:dyDescent="0.25">
      <c r="A17" s="17" t="s">
        <v>41</v>
      </c>
      <c r="B17" s="40" t="s">
        <v>112</v>
      </c>
    </row>
    <row r="18" spans="1:2" x14ac:dyDescent="0.25">
      <c r="A18" s="17" t="s">
        <v>73</v>
      </c>
      <c r="B18" s="43" t="s">
        <v>113</v>
      </c>
    </row>
    <row r="19" spans="1:2" x14ac:dyDescent="0.25">
      <c r="A19" s="75" t="s">
        <v>141</v>
      </c>
      <c r="B19" s="74" t="s">
        <v>147</v>
      </c>
    </row>
    <row r="20" spans="1:2" x14ac:dyDescent="0.25">
      <c r="A20" s="92" t="s">
        <v>59</v>
      </c>
      <c r="B20" s="93"/>
    </row>
    <row r="21" spans="1:2" x14ac:dyDescent="0.25">
      <c r="A21" s="17" t="s">
        <v>51</v>
      </c>
      <c r="B21" s="40" t="s">
        <v>114</v>
      </c>
    </row>
    <row r="22" spans="1:2" x14ac:dyDescent="0.25">
      <c r="A22" s="17" t="s">
        <v>52</v>
      </c>
      <c r="B22" s="40" t="s">
        <v>115</v>
      </c>
    </row>
    <row r="23" spans="1:2" x14ac:dyDescent="0.25">
      <c r="A23" s="92" t="s">
        <v>116</v>
      </c>
      <c r="B23" s="93"/>
    </row>
    <row r="24" spans="1:2" x14ac:dyDescent="0.25">
      <c r="A24" s="17" t="s">
        <v>42</v>
      </c>
      <c r="B24" s="41" t="s">
        <v>117</v>
      </c>
    </row>
    <row r="25" spans="1:2" x14ac:dyDescent="0.25">
      <c r="A25" s="17" t="s">
        <v>140</v>
      </c>
      <c r="B25" s="40" t="s">
        <v>118</v>
      </c>
    </row>
    <row r="26" spans="1:2" x14ac:dyDescent="0.25">
      <c r="A26" s="17" t="s">
        <v>54</v>
      </c>
      <c r="B26" s="40" t="s">
        <v>119</v>
      </c>
    </row>
    <row r="27" spans="1:2" x14ac:dyDescent="0.25">
      <c r="A27" s="17" t="s">
        <v>55</v>
      </c>
      <c r="B27" s="43" t="s">
        <v>120</v>
      </c>
    </row>
    <row r="28" spans="1:2" x14ac:dyDescent="0.25">
      <c r="A28" s="17" t="s">
        <v>56</v>
      </c>
      <c r="B28" s="40" t="s">
        <v>121</v>
      </c>
    </row>
    <row r="29" spans="1:2" x14ac:dyDescent="0.25">
      <c r="A29" s="92" t="s">
        <v>60</v>
      </c>
      <c r="B29" s="93"/>
    </row>
    <row r="30" spans="1:2" x14ac:dyDescent="0.25">
      <c r="A30" s="17" t="s">
        <v>74</v>
      </c>
      <c r="B30" s="44" t="s">
        <v>122</v>
      </c>
    </row>
    <row r="31" spans="1:2" x14ac:dyDescent="0.25">
      <c r="A31" s="76" t="s">
        <v>142</v>
      </c>
      <c r="B31" s="44" t="s">
        <v>146</v>
      </c>
    </row>
    <row r="32" spans="1:2" x14ac:dyDescent="0.25">
      <c r="A32" s="17" t="s">
        <v>78</v>
      </c>
      <c r="B32" s="44" t="s">
        <v>123</v>
      </c>
    </row>
    <row r="33" spans="1:2" ht="15.75" hidden="1" thickBot="1" x14ac:dyDescent="0.3">
      <c r="A33" s="18" t="s">
        <v>124</v>
      </c>
      <c r="B33" s="45" t="s">
        <v>125</v>
      </c>
    </row>
    <row r="35" spans="1:2" x14ac:dyDescent="0.25">
      <c r="A35" s="94" t="s">
        <v>89</v>
      </c>
      <c r="B35" s="95"/>
    </row>
    <row r="36" spans="1:2" x14ac:dyDescent="0.25">
      <c r="A36" s="17" t="s">
        <v>69</v>
      </c>
      <c r="B36" s="41" t="s">
        <v>126</v>
      </c>
    </row>
    <row r="37" spans="1:2" x14ac:dyDescent="0.25">
      <c r="A37" s="17" t="s">
        <v>70</v>
      </c>
      <c r="B37" s="40" t="s">
        <v>127</v>
      </c>
    </row>
    <row r="38" spans="1:2" x14ac:dyDescent="0.25">
      <c r="A38" s="17" t="s">
        <v>90</v>
      </c>
      <c r="B38" s="40" t="s">
        <v>128</v>
      </c>
    </row>
    <row r="39" spans="1:2" x14ac:dyDescent="0.25">
      <c r="A39" s="46" t="s">
        <v>68</v>
      </c>
      <c r="B39" s="43" t="s">
        <v>129</v>
      </c>
    </row>
    <row r="40" spans="1:2" x14ac:dyDescent="0.25">
      <c r="A40" s="47" t="s">
        <v>91</v>
      </c>
      <c r="B40" s="40" t="s">
        <v>130</v>
      </c>
    </row>
    <row r="41" spans="1:2" x14ac:dyDescent="0.25">
      <c r="A41" s="18" t="s">
        <v>71</v>
      </c>
      <c r="B41" s="45" t="s">
        <v>131</v>
      </c>
    </row>
    <row r="102" spans="1:2" x14ac:dyDescent="0.25">
      <c r="A102" s="67" t="s">
        <v>138</v>
      </c>
      <c r="B102" s="68" t="s">
        <v>139</v>
      </c>
    </row>
  </sheetData>
  <sheetProtection algorithmName="SHA-512" hashValue="zveV3IHFImR4PXjM89ml+9od2H07CDRMFbhFtXsW23uuRNB4uT9yS4MoTyahaeB7nHtUnqgAY782xkrxAS/Tzg==" saltValue="7iIlI0/a8nnF0xZeWcZHIA==" spinCount="100000" sheet="1" objects="1" scenarios="1"/>
  <mergeCells count="11">
    <mergeCell ref="A20:B20"/>
    <mergeCell ref="A23:B23"/>
    <mergeCell ref="A29:B29"/>
    <mergeCell ref="A35:B35"/>
    <mergeCell ref="A3:B3"/>
    <mergeCell ref="A6:B6"/>
    <mergeCell ref="A1:B1"/>
    <mergeCell ref="A2:B2"/>
    <mergeCell ref="A4:B4"/>
    <mergeCell ref="A5:B5"/>
    <mergeCell ref="A12:B12"/>
  </mergeCells>
  <hyperlinks>
    <hyperlink ref="A4:B4" location="Config!A1" display="Go to &quot;Config&quot; tab to start using this spreadsheet." xr:uid="{AF2D7D29-8B78-455D-8A89-5E7F33A5BC8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6B79-E840-44A8-8B91-143FAF146CD6}">
  <sheetPr>
    <pageSetUpPr fitToPage="1"/>
  </sheetPr>
  <dimension ref="A1:T39"/>
  <sheetViews>
    <sheetView zoomScale="92" zoomScaleNormal="92" workbookViewId="0">
      <selection activeCell="B30" sqref="B30:C30"/>
    </sheetView>
  </sheetViews>
  <sheetFormatPr defaultRowHeight="15" x14ac:dyDescent="0.25"/>
  <cols>
    <col min="1" max="1" width="36.7109375" customWidth="1"/>
    <col min="2" max="3" width="12.140625" customWidth="1"/>
    <col min="4" max="4" width="5" customWidth="1"/>
    <col min="5" max="7" width="9.140625" customWidth="1"/>
    <col min="12" max="12" width="2.85546875" customWidth="1"/>
  </cols>
  <sheetData>
    <row r="1" spans="1:20" ht="21.75" thickBot="1" x14ac:dyDescent="0.4">
      <c r="A1" s="103" t="str">
        <f>Info!A1</f>
        <v>jonsson_3cy_01_12_01_20 - Channel Capacity Calculator Version 1.2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ht="15.75" thickBot="1" x14ac:dyDescent="0.3">
      <c r="A2" s="25"/>
      <c r="B2" s="85" t="s">
        <v>61</v>
      </c>
      <c r="C2" s="86" t="s">
        <v>62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70" t="s">
        <v>57</v>
      </c>
      <c r="B3" s="81"/>
      <c r="C3" s="8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17" t="s">
        <v>92</v>
      </c>
      <c r="B4" s="57">
        <v>25</v>
      </c>
      <c r="C4" s="58">
        <f>B4</f>
        <v>25</v>
      </c>
      <c r="D4" s="9"/>
      <c r="E4" s="9"/>
      <c r="F4" s="16"/>
      <c r="G4" s="16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17" t="s">
        <v>39</v>
      </c>
      <c r="B5" s="59">
        <v>9.9999999999999998E-13</v>
      </c>
      <c r="C5" s="87">
        <f t="shared" ref="C5:C8" si="0">B5</f>
        <v>9.9999999999999998E-13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17" t="s">
        <v>50</v>
      </c>
      <c r="B6" s="57">
        <v>11</v>
      </c>
      <c r="C6" s="58">
        <f t="shared" si="0"/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17" t="s">
        <v>53</v>
      </c>
      <c r="B7" s="57">
        <v>-40</v>
      </c>
      <c r="C7" s="58">
        <f t="shared" si="0"/>
        <v>-40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25">
      <c r="A8" s="17" t="s">
        <v>72</v>
      </c>
      <c r="B8" s="57">
        <v>4</v>
      </c>
      <c r="C8" s="58">
        <f t="shared" si="0"/>
        <v>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69" t="s">
        <v>58</v>
      </c>
      <c r="B9" s="79"/>
      <c r="C9" s="8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17" t="s">
        <v>38</v>
      </c>
      <c r="B10" s="57">
        <v>4</v>
      </c>
      <c r="C10" s="58">
        <f>B10</f>
        <v>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7" t="s">
        <v>40</v>
      </c>
      <c r="B11" s="57">
        <v>360</v>
      </c>
      <c r="C11" s="58">
        <f t="shared" ref="C11:C14" si="1">B11</f>
        <v>360</v>
      </c>
      <c r="D11" s="9"/>
      <c r="E11" s="9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17" t="s">
        <v>86</v>
      </c>
      <c r="B12" s="57">
        <v>326</v>
      </c>
      <c r="C12" s="58">
        <f t="shared" si="1"/>
        <v>326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5">
      <c r="A13" s="17" t="s">
        <v>100</v>
      </c>
      <c r="B13" s="60">
        <v>1</v>
      </c>
      <c r="C13" s="61">
        <f t="shared" si="1"/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17" t="s">
        <v>41</v>
      </c>
      <c r="B14" s="57">
        <v>10</v>
      </c>
      <c r="C14" s="58">
        <f t="shared" si="1"/>
        <v>10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7" t="s">
        <v>73</v>
      </c>
      <c r="B15" s="62">
        <v>1</v>
      </c>
      <c r="C15" s="61">
        <v>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75" t="s">
        <v>150</v>
      </c>
      <c r="B16" s="77">
        <f>3/160</f>
        <v>1.8749999999999999E-2</v>
      </c>
      <c r="C16" s="78">
        <f>B16</f>
        <v>1.8749999999999999E-2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69" t="s">
        <v>59</v>
      </c>
      <c r="B17" s="83"/>
      <c r="C17" s="8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17" t="s">
        <v>51</v>
      </c>
      <c r="B18" s="57" t="s">
        <v>75</v>
      </c>
      <c r="C18" s="58" t="str">
        <f t="shared" ref="C18:C19" si="2">B18</f>
        <v>PSD_brick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17" t="s">
        <v>52</v>
      </c>
      <c r="B19" s="57">
        <v>0</v>
      </c>
      <c r="C19" s="58">
        <f t="shared" si="2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69" t="s">
        <v>88</v>
      </c>
      <c r="B20" s="83"/>
      <c r="C20" s="84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17" t="s">
        <v>42</v>
      </c>
      <c r="B21" s="59">
        <v>1E-4</v>
      </c>
      <c r="C21" s="87">
        <f t="shared" ref="C21:C24" si="3">B21</f>
        <v>1E-4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17" t="s">
        <v>148</v>
      </c>
      <c r="B22" s="57">
        <v>-140</v>
      </c>
      <c r="C22" s="58">
        <f t="shared" si="3"/>
        <v>-140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7" t="s">
        <v>54</v>
      </c>
      <c r="B23" s="57">
        <v>5</v>
      </c>
      <c r="C23" s="58">
        <f t="shared" si="3"/>
        <v>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17" t="s">
        <v>55</v>
      </c>
      <c r="B24" s="62">
        <v>1</v>
      </c>
      <c r="C24" s="61">
        <f t="shared" si="3"/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17" t="s">
        <v>56</v>
      </c>
      <c r="B25" s="57">
        <v>0</v>
      </c>
      <c r="C25" s="58">
        <f>B25</f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69" t="s">
        <v>60</v>
      </c>
      <c r="B26" s="83"/>
      <c r="C26" s="8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17" t="s">
        <v>74</v>
      </c>
      <c r="B27" s="99" t="s">
        <v>152</v>
      </c>
      <c r="C27" s="10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17" t="s">
        <v>78</v>
      </c>
      <c r="B28" s="99" t="s">
        <v>84</v>
      </c>
      <c r="C28" s="10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76" t="s">
        <v>149</v>
      </c>
      <c r="B29" s="99">
        <v>20</v>
      </c>
      <c r="C29" s="10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thickBot="1" x14ac:dyDescent="0.3">
      <c r="A30" s="18" t="s">
        <v>99</v>
      </c>
      <c r="B30" s="101">
        <v>9000000000</v>
      </c>
      <c r="C30" s="10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thickBot="1" x14ac:dyDescent="0.3">
      <c r="A31" s="35"/>
      <c r="B31" s="36"/>
      <c r="C31" s="3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thickBot="1" x14ac:dyDescent="0.3">
      <c r="A32" s="71" t="s">
        <v>89</v>
      </c>
      <c r="B32" s="72"/>
      <c r="C32" s="7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37"/>
      <c r="B33" s="38" t="str">
        <f>B2</f>
        <v>Upstream</v>
      </c>
      <c r="C33" s="39" t="str">
        <f>C2</f>
        <v>Downstream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19" t="s">
        <v>69</v>
      </c>
      <c r="B34" s="14">
        <f>SUMPRODUCT(Masks[Inband_us],Calculate[SNRdB_us],Calculate[dF])/F_Nyquist_us</f>
        <v>23.222093081916036</v>
      </c>
      <c r="C34" s="20">
        <f>SUMPRODUCT(Masks[Inband_ds],Calculate[SNRdB_ds],Calculate[dF])/F_Nyquist_ds</f>
        <v>23.222093081916036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9" t="s">
        <v>70</v>
      </c>
      <c r="B35" s="15">
        <f>B34-B25</f>
        <v>23.222093081916036</v>
      </c>
      <c r="C35" s="21">
        <f>C34-C25</f>
        <v>23.222093081916036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19" t="s">
        <v>90</v>
      </c>
      <c r="B36" s="14">
        <f>req_SNR_us</f>
        <v>17.783876297231537</v>
      </c>
      <c r="C36" s="20">
        <f>req_SNR_ds</f>
        <v>17.783876297231537</v>
      </c>
      <c r="D36" s="9"/>
    </row>
    <row r="37" spans="1:20" x14ac:dyDescent="0.25">
      <c r="A37" s="19" t="s">
        <v>68</v>
      </c>
      <c r="B37" s="15">
        <f>B35-B36</f>
        <v>5.4382167846844993</v>
      </c>
      <c r="C37" s="21">
        <f>C35-C36</f>
        <v>5.4382167846844993</v>
      </c>
    </row>
    <row r="38" spans="1:20" x14ac:dyDescent="0.25">
      <c r="A38" s="27" t="s">
        <v>91</v>
      </c>
      <c r="B38" s="14">
        <f>F_Nyquist_us/1000000000</f>
        <v>7.0312500000000009</v>
      </c>
      <c r="C38" s="20">
        <f>F_Nyquist_ds/1000000000</f>
        <v>7.0312500000000009</v>
      </c>
    </row>
    <row r="39" spans="1:20" ht="15.75" thickBot="1" x14ac:dyDescent="0.3">
      <c r="A39" s="22" t="s">
        <v>71</v>
      </c>
      <c r="B39" s="23">
        <f>-VLOOKUP(F_Nyquist_us,Calculate!A:C,3)</f>
        <v>26.640813746660616</v>
      </c>
      <c r="C39" s="24">
        <f>-VLOOKUP(F_Nyquist_ds,Calculate!A:C,3)</f>
        <v>26.640813746660616</v>
      </c>
    </row>
  </sheetData>
  <sheetProtection algorithmName="SHA-512" hashValue="hxvfXJWWhvnJ5Apb2qkWIjhftjX3h2i+pQ0AMHzQm8i1PmIaQEtMRYmQ2EwDdPsgkrVjGov9KRhC6q16FMib4A==" saltValue="SUVtd4GK91IN7sVQOQtnKg==" spinCount="100000" sheet="1" objects="1" scenarios="1"/>
  <mergeCells count="5">
    <mergeCell ref="B28:C28"/>
    <mergeCell ref="B30:C30"/>
    <mergeCell ref="A1:S1"/>
    <mergeCell ref="B27:C27"/>
    <mergeCell ref="B29:C29"/>
  </mergeCells>
  <pageMargins left="0.7" right="0.7" top="0.75" bottom="0.75" header="0.3" footer="0.3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C890-A42B-4F47-B1F4-BE1375AA5666}">
  <dimension ref="A1:AC201"/>
  <sheetViews>
    <sheetView workbookViewId="0">
      <pane ySplit="1" topLeftCell="A150" activePane="bottomLeft" state="frozen"/>
      <selection pane="bottomLeft" activeCell="Z168" sqref="Z168"/>
    </sheetView>
  </sheetViews>
  <sheetFormatPr defaultRowHeight="15" x14ac:dyDescent="0.25"/>
  <cols>
    <col min="1" max="1" width="14" style="34" customWidth="1"/>
    <col min="2" max="2" width="11.140625" customWidth="1"/>
    <col min="3" max="14" width="9.140625" customWidth="1"/>
    <col min="27" max="27" width="30.140625" customWidth="1"/>
    <col min="28" max="29" width="11" bestFit="1" customWidth="1"/>
  </cols>
  <sheetData>
    <row r="1" spans="1:29" s="4" customFormat="1" ht="11.25" x14ac:dyDescent="0.2">
      <c r="A1" s="33" t="s">
        <v>26</v>
      </c>
      <c r="B1" s="4" t="s">
        <v>29</v>
      </c>
      <c r="C1" s="4" t="s">
        <v>4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36</v>
      </c>
      <c r="I1" s="4" t="s">
        <v>37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17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22</v>
      </c>
      <c r="T1" s="4" t="s">
        <v>24</v>
      </c>
      <c r="U1" s="4" t="s">
        <v>25</v>
      </c>
      <c r="V1" s="4" t="s">
        <v>23</v>
      </c>
      <c r="W1" s="4" t="s">
        <v>27</v>
      </c>
      <c r="X1" s="4" t="s">
        <v>143</v>
      </c>
    </row>
    <row r="2" spans="1:29" ht="15.75" thickBot="1" x14ac:dyDescent="0.3">
      <c r="A2" s="34">
        <f>f_step</f>
        <v>45000000</v>
      </c>
      <c r="B2" s="1">
        <f>Calculate[[#This Row],[Freq]]</f>
        <v>45000000</v>
      </c>
      <c r="C2">
        <f>Channels!B2*cable_length</f>
        <v>-1.6086600973579019</v>
      </c>
      <c r="D2" s="2">
        <f>Masks!A2</f>
        <v>-98.470325397914564</v>
      </c>
      <c r="E2" s="2">
        <f>Masks!B2</f>
        <v>-98.470325397914564</v>
      </c>
      <c r="F2" s="2">
        <f>Calculate[[#This Row],[Tx_PSD_us]]+Calculate[[#This Row],[IL]]</f>
        <v>-100.07898549527246</v>
      </c>
      <c r="G2" s="2">
        <f>Calculate[[#This Row],[Tx_PSD_ds]]+Calculate[[#This Row],[IL]]</f>
        <v>-100.07898549527246</v>
      </c>
      <c r="H2" s="2">
        <f>Masks[[#This Row],[channel_echo]]</f>
        <v>-24.219341161639086</v>
      </c>
      <c r="I2" s="2">
        <f>Masks[[#This Row],[channel_echo]]</f>
        <v>-24.219341161639086</v>
      </c>
      <c r="J2" s="2">
        <f>Calculate[[#This Row],[Echo_transfer_us]]+Calculate[[#This Row],[Tx_PSD_ds]]</f>
        <v>-122.68966655955364</v>
      </c>
      <c r="K2" s="2">
        <f>Calculate[[#This Row],[Echo_transfer_ds]]+Calculate[[#This Row],[Tx_PSD_us]]</f>
        <v>-122.68966655955364</v>
      </c>
      <c r="L2" s="2">
        <f t="shared" ref="L2:L33" si="0">AFE_noise_us</f>
        <v>-140</v>
      </c>
      <c r="M2" s="2">
        <f t="shared" ref="M2:M33" si="1">AFE_noise_ds</f>
        <v>-140</v>
      </c>
      <c r="N2" s="2">
        <f t="shared" ref="N2:N33" si="2">EC_cancel_us</f>
        <v>5</v>
      </c>
      <c r="O2" s="2">
        <f t="shared" ref="O2:O33" si="3">EC_cancel_ds</f>
        <v>5</v>
      </c>
      <c r="P2" s="2">
        <f>10*LOG10((10^(Calculate[[#This Row],[Rx_echo_us]]/10))-(10^((Masks[[#This Row],[connector_echo]]+Calculate[[#This Row],[Tx_PSD_ds]])/10))*EC_conector_ratio_us)-Calculate[[#This Row],[EC_cancelation_us]]</f>
        <v>-143.47032539791388</v>
      </c>
      <c r="Q2" s="2">
        <f>10*LOG10((10^(Calculate[[#This Row],[Rx_echo_ds]]/10))-(10^((Masks[[#This Row],[connector_echo]]+Calculate[[#This Row],[Tx_PSD_us]])/10))*EC_conector_ratio_ds)-Calculate[[#This Row],[EC_cancelation_ds]]</f>
        <v>-143.47032539791388</v>
      </c>
      <c r="R2" s="2">
        <f>10*LOG10(POWER(10,Calculate[[#This Row],[AFE_noise_us]]/10)+POWER(10,Calculate[[#This Row],[Echo_res_us]]/10))</f>
        <v>-138.38708034075637</v>
      </c>
      <c r="S2" s="2">
        <f>10*LOG10(POWER(10,Calculate[[#This Row],[AFE_noise_ds]]/10)+POWER(10,Calculate[[#This Row],[Echo_res_ds]]/10))</f>
        <v>-138.38708034075637</v>
      </c>
      <c r="T2" s="2">
        <f>Calculate[[#This Row],[Rx_PSD_us]]-Calculate[[#This Row],[Noise_us]]</f>
        <v>38.308094845483907</v>
      </c>
      <c r="U2" s="2">
        <f>Calculate[[#This Row],[Rx_PSD_ds]]-Calculate[[#This Row],[Noise_ds]]</f>
        <v>38.308094845483907</v>
      </c>
      <c r="V2" s="2">
        <f>POWER(10,Calculate[[#This Row],[SNRdB_us]]/10)</f>
        <v>6773.4430635566423</v>
      </c>
      <c r="W2" s="2">
        <f>POWER(10,Calculate[[#This Row],[SNRdB_ds]]/10)</f>
        <v>6773.4430635566423</v>
      </c>
      <c r="X2" s="2">
        <f>-(0.002*Calculate[[#This Row],[Freq]]/1000000/2.5+0.68*(Calculate[[#This Row],[Freq]]/1000000/2.5)^0.45)</f>
        <v>-2.5327872620251815</v>
      </c>
      <c r="AB2" t="str">
        <f>Config!B2</f>
        <v>Upstream</v>
      </c>
      <c r="AC2" t="str">
        <f>Config!C2</f>
        <v>Downstream</v>
      </c>
    </row>
    <row r="3" spans="1:29" x14ac:dyDescent="0.25">
      <c r="A3" s="34">
        <f t="shared" ref="A3:A34" si="4">f_step+A2</f>
        <v>90000000</v>
      </c>
      <c r="B3" s="1">
        <f>Calculate[[#This Row],[Freq]]-A2</f>
        <v>45000000</v>
      </c>
      <c r="C3">
        <f>Channels!B3*cable_length</f>
        <v>-2.3017195625033811</v>
      </c>
      <c r="D3" s="2">
        <f>Masks!A3</f>
        <v>-98.470325397914564</v>
      </c>
      <c r="E3" s="2">
        <f>Masks!B3</f>
        <v>-98.470325397914564</v>
      </c>
      <c r="F3" s="2">
        <f>Calculate[[#This Row],[Tx_PSD_us]]+Calculate[[#This Row],[IL]]</f>
        <v>-100.77204496041794</v>
      </c>
      <c r="G3" s="2">
        <f>Calculate[[#This Row],[Tx_PSD_ds]]+Calculate[[#This Row],[IL]]</f>
        <v>-100.77204496041794</v>
      </c>
      <c r="H3" s="2">
        <f>Masks[[#This Row],[channel_echo]]</f>
        <v>-23.419886033428877</v>
      </c>
      <c r="I3" s="2">
        <f>Masks[[#This Row],[channel_echo]]</f>
        <v>-23.419886033428877</v>
      </c>
      <c r="J3" s="2">
        <f>Calculate[[#This Row],[Echo_transfer_us]]+Calculate[[#This Row],[Tx_PSD_ds]]</f>
        <v>-121.89021143134345</v>
      </c>
      <c r="K3" s="2">
        <f>Calculate[[#This Row],[Echo_transfer_ds]]+Calculate[[#This Row],[Tx_PSD_us]]</f>
        <v>-121.89021143134345</v>
      </c>
      <c r="L3" s="2">
        <f t="shared" si="0"/>
        <v>-140</v>
      </c>
      <c r="M3" s="2">
        <f t="shared" si="1"/>
        <v>-140</v>
      </c>
      <c r="N3" s="2">
        <f t="shared" si="2"/>
        <v>5</v>
      </c>
      <c r="O3" s="2">
        <f t="shared" si="3"/>
        <v>5</v>
      </c>
      <c r="P3" s="2">
        <f>10*LOG10((10^(Calculate[[#This Row],[Rx_echo_us]]/10))-(10^((Masks[[#This Row],[connector_echo]]+Calculate[[#This Row],[Tx_PSD_ds]])/10))*EC_conector_ratio_us)-Calculate[[#This Row],[EC_cancelation_us]]</f>
        <v>-143.47032539791459</v>
      </c>
      <c r="Q3" s="2">
        <f>10*LOG10((10^(Calculate[[#This Row],[Rx_echo_ds]]/10))-(10^((Masks[[#This Row],[connector_echo]]+Calculate[[#This Row],[Tx_PSD_us]])/10))*EC_conector_ratio_ds)-Calculate[[#This Row],[EC_cancelation_ds]]</f>
        <v>-143.47032539791459</v>
      </c>
      <c r="R3" s="2">
        <f>10*LOG10(POWER(10,Calculate[[#This Row],[AFE_noise_us]]/10)+POWER(10,Calculate[[#This Row],[Echo_res_us]]/10))</f>
        <v>-138.3870803407566</v>
      </c>
      <c r="S3" s="2">
        <f>10*LOG10(POWER(10,Calculate[[#This Row],[AFE_noise_ds]]/10)+POWER(10,Calculate[[#This Row],[Echo_res_ds]]/10))</f>
        <v>-138.3870803407566</v>
      </c>
      <c r="T3" s="2">
        <f>Calculate[[#This Row],[Rx_PSD_us]]-Calculate[[#This Row],[Noise_us]]</f>
        <v>37.615035380338654</v>
      </c>
      <c r="U3" s="2">
        <f>Calculate[[#This Row],[Rx_PSD_ds]]-Calculate[[#This Row],[Noise_ds]]</f>
        <v>37.615035380338654</v>
      </c>
      <c r="V3" s="2">
        <f>POWER(10,Calculate[[#This Row],[SNRdB_us]]/10)</f>
        <v>5774.3557684537445</v>
      </c>
      <c r="W3" s="2">
        <f>POWER(10,Calculate[[#This Row],[SNRdB_ds]]/10)</f>
        <v>5774.3557684537445</v>
      </c>
      <c r="X3" s="2">
        <f>-(0.002*Calculate[[#This Row],[Freq]]/1000000/2.5+0.68*(Calculate[[#This Row],[Freq]]/1000000/2.5)^0.45)</f>
        <v>-3.4827119124779835</v>
      </c>
      <c r="AA3" s="6" t="s">
        <v>43</v>
      </c>
      <c r="AB3" s="10">
        <f>FLOOR((Config!B11-Config!B12)/2*Config!B13,1)</f>
        <v>17</v>
      </c>
      <c r="AC3" s="10">
        <f>FLOOR((Config!C11-Config!C12)/2*Config!C13,1)</f>
        <v>17</v>
      </c>
    </row>
    <row r="4" spans="1:29" x14ac:dyDescent="0.25">
      <c r="A4" s="34">
        <f t="shared" si="4"/>
        <v>135000000</v>
      </c>
      <c r="B4" s="1">
        <f>Calculate[[#This Row],[Freq]]-A3</f>
        <v>45000000</v>
      </c>
      <c r="C4">
        <f>Channels!B4*cable_length</f>
        <v>-2.8441401407273181</v>
      </c>
      <c r="D4" s="2">
        <f>Masks!A4</f>
        <v>-98.470325397914564</v>
      </c>
      <c r="E4" s="2">
        <f>Masks!B4</f>
        <v>-98.470325397914564</v>
      </c>
      <c r="F4" s="2">
        <f>Calculate[[#This Row],[Tx_PSD_us]]+Calculate[[#This Row],[IL]]</f>
        <v>-101.31446553864188</v>
      </c>
      <c r="G4" s="2">
        <f>Calculate[[#This Row],[Tx_PSD_ds]]+Calculate[[#This Row],[IL]]</f>
        <v>-101.31446553864188</v>
      </c>
      <c r="H4" s="2">
        <f>Masks[[#This Row],[channel_echo]]</f>
        <v>-22.744967311406846</v>
      </c>
      <c r="I4" s="2">
        <f>Masks[[#This Row],[channel_echo]]</f>
        <v>-22.744967311406846</v>
      </c>
      <c r="J4" s="2">
        <f>Calculate[[#This Row],[Echo_transfer_us]]+Calculate[[#This Row],[Tx_PSD_ds]]</f>
        <v>-121.2152927093214</v>
      </c>
      <c r="K4" s="2">
        <f>Calculate[[#This Row],[Echo_transfer_ds]]+Calculate[[#This Row],[Tx_PSD_us]]</f>
        <v>-121.2152927093214</v>
      </c>
      <c r="L4" s="2">
        <f t="shared" si="0"/>
        <v>-140</v>
      </c>
      <c r="M4" s="2">
        <f t="shared" si="1"/>
        <v>-140</v>
      </c>
      <c r="N4" s="2">
        <f t="shared" si="2"/>
        <v>5</v>
      </c>
      <c r="O4" s="2">
        <f t="shared" si="3"/>
        <v>5</v>
      </c>
      <c r="P4" s="2">
        <f>10*LOG10((10^(Calculate[[#This Row],[Rx_echo_us]]/10))-(10^((Masks[[#This Row],[connector_echo]]+Calculate[[#This Row],[Tx_PSD_ds]])/10))*EC_conector_ratio_us)-Calculate[[#This Row],[EC_cancelation_us]]</f>
        <v>-143.47032539791323</v>
      </c>
      <c r="Q4" s="2">
        <f>10*LOG10((10^(Calculate[[#This Row],[Rx_echo_ds]]/10))-(10^((Masks[[#This Row],[connector_echo]]+Calculate[[#This Row],[Tx_PSD_us]])/10))*EC_conector_ratio_ds)-Calculate[[#This Row],[EC_cancelation_ds]]</f>
        <v>-143.47032539791323</v>
      </c>
      <c r="R4" s="2">
        <f>10*LOG10(POWER(10,Calculate[[#This Row],[AFE_noise_us]]/10)+POWER(10,Calculate[[#This Row],[Echo_res_us]]/10))</f>
        <v>-138.38708034075617</v>
      </c>
      <c r="S4" s="2">
        <f>10*LOG10(POWER(10,Calculate[[#This Row],[AFE_noise_ds]]/10)+POWER(10,Calculate[[#This Row],[Echo_res_ds]]/10))</f>
        <v>-138.38708034075617</v>
      </c>
      <c r="T4" s="2">
        <f>Calculate[[#This Row],[Rx_PSD_us]]-Calculate[[#This Row],[Noise_us]]</f>
        <v>37.072614802114288</v>
      </c>
      <c r="U4" s="2">
        <f>Calculate[[#This Row],[Rx_PSD_ds]]-Calculate[[#This Row],[Noise_ds]]</f>
        <v>37.072614802114288</v>
      </c>
      <c r="V4" s="2">
        <f>POWER(10,Calculate[[#This Row],[SNRdB_us]]/10)</f>
        <v>5096.3762154556125</v>
      </c>
      <c r="W4" s="2">
        <f>POWER(10,Calculate[[#This Row],[SNRdB_ds]]/10)</f>
        <v>5096.3762154556125</v>
      </c>
      <c r="X4" s="2">
        <f>-(0.002*Calculate[[#This Row],[Freq]]/1000000/2.5+0.68*(Calculate[[#This Row],[Freq]]/1000000/2.5)^0.45)</f>
        <v>-4.2014180911435384</v>
      </c>
      <c r="AA4" s="5" t="s">
        <v>44</v>
      </c>
      <c r="AB4" s="11">
        <f>_xlfn.CHISQ.INV(Config!B5,2*(AB3+1))/2</f>
        <v>1.7873822603246445</v>
      </c>
      <c r="AC4" s="11">
        <f>_xlfn.CHISQ.INV(Config!C5,2*(AC3+1))/2</f>
        <v>1.7873822603246445</v>
      </c>
    </row>
    <row r="5" spans="1:29" x14ac:dyDescent="0.25">
      <c r="A5" s="34">
        <f t="shared" si="4"/>
        <v>180000000</v>
      </c>
      <c r="B5" s="1">
        <f>Calculate[[#This Row],[Freq]]-A4</f>
        <v>45000000</v>
      </c>
      <c r="C5">
        <f>Channels!B5*cable_length</f>
        <v>-3.308584293214575</v>
      </c>
      <c r="D5" s="2">
        <f>Masks!A5</f>
        <v>-98.470325397914564</v>
      </c>
      <c r="E5" s="2">
        <f>Masks!B5</f>
        <v>-98.470325397914564</v>
      </c>
      <c r="F5" s="2">
        <f>Calculate[[#This Row],[Tx_PSD_us]]+Calculate[[#This Row],[IL]]</f>
        <v>-101.77890969112914</v>
      </c>
      <c r="G5" s="2">
        <f>Calculate[[#This Row],[Tx_PSD_ds]]+Calculate[[#This Row],[IL]]</f>
        <v>-101.77890969112914</v>
      </c>
      <c r="H5" s="2">
        <f>Masks[[#This Row],[channel_echo]]</f>
        <v>-22.160964207272652</v>
      </c>
      <c r="I5" s="2">
        <f>Masks[[#This Row],[channel_echo]]</f>
        <v>-22.160964207272652</v>
      </c>
      <c r="J5" s="2">
        <f>Calculate[[#This Row],[Echo_transfer_us]]+Calculate[[#This Row],[Tx_PSD_ds]]</f>
        <v>-120.63128960518722</v>
      </c>
      <c r="K5" s="2">
        <f>Calculate[[#This Row],[Echo_transfer_ds]]+Calculate[[#This Row],[Tx_PSD_us]]</f>
        <v>-120.63128960518722</v>
      </c>
      <c r="L5" s="2">
        <f t="shared" si="0"/>
        <v>-140</v>
      </c>
      <c r="M5" s="2">
        <f t="shared" si="1"/>
        <v>-140</v>
      </c>
      <c r="N5" s="2">
        <f t="shared" si="2"/>
        <v>5</v>
      </c>
      <c r="O5" s="2">
        <f t="shared" si="3"/>
        <v>5</v>
      </c>
      <c r="P5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5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5" s="2">
        <f>10*LOG10(POWER(10,Calculate[[#This Row],[AFE_noise_us]]/10)+POWER(10,Calculate[[#This Row],[Echo_res_us]]/10))</f>
        <v>-138.38708034075668</v>
      </c>
      <c r="S5" s="2">
        <f>10*LOG10(POWER(10,Calculate[[#This Row],[AFE_noise_ds]]/10)+POWER(10,Calculate[[#This Row],[Echo_res_ds]]/10))</f>
        <v>-138.38708034075668</v>
      </c>
      <c r="T5" s="2">
        <f>Calculate[[#This Row],[Rx_PSD_us]]-Calculate[[#This Row],[Noise_us]]</f>
        <v>36.608170649627539</v>
      </c>
      <c r="U5" s="2">
        <f>Calculate[[#This Row],[Rx_PSD_ds]]-Calculate[[#This Row],[Noise_ds]]</f>
        <v>36.608170649627539</v>
      </c>
      <c r="V5" s="2">
        <f>POWER(10,Calculate[[#This Row],[SNRdB_us]]/10)</f>
        <v>4579.4894722838671</v>
      </c>
      <c r="W5" s="2">
        <f>POWER(10,Calculate[[#This Row],[SNRdB_ds]]/10)</f>
        <v>4579.4894722838671</v>
      </c>
      <c r="X5" s="2">
        <f>-(0.002*Calculate[[#This Row],[Freq]]/1000000/2.5+0.68*(Calculate[[#This Row],[Freq]]/1000000/2.5)^0.45)</f>
        <v>-4.8031697766367003</v>
      </c>
      <c r="AA5" s="5" t="s">
        <v>45</v>
      </c>
      <c r="AB5" s="11">
        <f>AB4/Config!B11</f>
        <v>4.964950723124013E-3</v>
      </c>
      <c r="AC5" s="11">
        <f>AC4/Config!C11</f>
        <v>4.964950723124013E-3</v>
      </c>
    </row>
    <row r="6" spans="1:29" x14ac:dyDescent="0.25">
      <c r="A6" s="34">
        <f t="shared" si="4"/>
        <v>225000000</v>
      </c>
      <c r="B6" s="1">
        <f>Calculate[[#This Row],[Freq]]-A5</f>
        <v>45000000</v>
      </c>
      <c r="C6">
        <f>Channels!B6*cable_length</f>
        <v>-3.7231972125563821</v>
      </c>
      <c r="D6" s="2">
        <f>Masks!A6</f>
        <v>-98.470325397914564</v>
      </c>
      <c r="E6" s="2">
        <f>Masks!B6</f>
        <v>-98.470325397914564</v>
      </c>
      <c r="F6" s="2">
        <f>Calculate[[#This Row],[Tx_PSD_us]]+Calculate[[#This Row],[IL]]</f>
        <v>-102.19352261047095</v>
      </c>
      <c r="G6" s="2">
        <f>Calculate[[#This Row],[Tx_PSD_ds]]+Calculate[[#This Row],[IL]]</f>
        <v>-102.19352261047095</v>
      </c>
      <c r="H6" s="2">
        <f>Masks[[#This Row],[channel_echo]]</f>
        <v>-21.646265475299913</v>
      </c>
      <c r="I6" s="2">
        <f>Masks[[#This Row],[channel_echo]]</f>
        <v>-21.646265475299913</v>
      </c>
      <c r="J6" s="2">
        <f>Calculate[[#This Row],[Echo_transfer_us]]+Calculate[[#This Row],[Tx_PSD_ds]]</f>
        <v>-120.11659087321448</v>
      </c>
      <c r="K6" s="2">
        <f>Calculate[[#This Row],[Echo_transfer_ds]]+Calculate[[#This Row],[Tx_PSD_us]]</f>
        <v>-120.11659087321448</v>
      </c>
      <c r="L6" s="2">
        <f t="shared" si="0"/>
        <v>-140</v>
      </c>
      <c r="M6" s="2">
        <f t="shared" si="1"/>
        <v>-140</v>
      </c>
      <c r="N6" s="2">
        <f t="shared" si="2"/>
        <v>5</v>
      </c>
      <c r="O6" s="2">
        <f t="shared" si="3"/>
        <v>5</v>
      </c>
      <c r="P6" s="2">
        <f>10*LOG10((10^(Calculate[[#This Row],[Rx_echo_us]]/10))-(10^((Masks[[#This Row],[connector_echo]]+Calculate[[#This Row],[Tx_PSD_ds]])/10))*EC_conector_ratio_us)-Calculate[[#This Row],[EC_cancelation_us]]</f>
        <v>-143.47032539791505</v>
      </c>
      <c r="Q6" s="2">
        <f>10*LOG10((10^(Calculate[[#This Row],[Rx_echo_ds]]/10))-(10^((Masks[[#This Row],[connector_echo]]+Calculate[[#This Row],[Tx_PSD_us]])/10))*EC_conector_ratio_ds)-Calculate[[#This Row],[EC_cancelation_ds]]</f>
        <v>-143.47032539791505</v>
      </c>
      <c r="R6" s="2">
        <f>10*LOG10(POWER(10,Calculate[[#This Row],[AFE_noise_us]]/10)+POWER(10,Calculate[[#This Row],[Echo_res_us]]/10))</f>
        <v>-138.38708034075671</v>
      </c>
      <c r="S6" s="2">
        <f>10*LOG10(POWER(10,Calculate[[#This Row],[AFE_noise_ds]]/10)+POWER(10,Calculate[[#This Row],[Echo_res_ds]]/10))</f>
        <v>-138.38708034075671</v>
      </c>
      <c r="T6" s="2">
        <f>Calculate[[#This Row],[Rx_PSD_us]]-Calculate[[#This Row],[Noise_us]]</f>
        <v>36.193557730285761</v>
      </c>
      <c r="U6" s="2">
        <f>Calculate[[#This Row],[Rx_PSD_ds]]-Calculate[[#This Row],[Noise_ds]]</f>
        <v>36.193557730285761</v>
      </c>
      <c r="V6" s="2">
        <f>POWER(10,Calculate[[#This Row],[SNRdB_us]]/10)</f>
        <v>4162.5146309170123</v>
      </c>
      <c r="W6" s="2">
        <f>POWER(10,Calculate[[#This Row],[SNRdB_ds]]/10)</f>
        <v>4162.5146309170123</v>
      </c>
      <c r="X6" s="2">
        <f>-(0.002*Calculate[[#This Row],[Freq]]/1000000/2.5+0.68*(Calculate[[#This Row],[Freq]]/1000000/2.5)^0.45)</f>
        <v>-5.3313142218878742</v>
      </c>
      <c r="AA6" s="5" t="s">
        <v>46</v>
      </c>
      <c r="AB6" s="11">
        <f>1-POWER(1-AB5,1/Config!B14)</f>
        <v>4.976078561288455E-4</v>
      </c>
      <c r="AC6" s="11">
        <f>1-POWER(1-AC5,1/Config!C14)</f>
        <v>4.976078561288455E-4</v>
      </c>
    </row>
    <row r="7" spans="1:29" x14ac:dyDescent="0.25">
      <c r="A7" s="34">
        <f t="shared" si="4"/>
        <v>270000000</v>
      </c>
      <c r="B7" s="1">
        <f>Calculate[[#This Row],[Freq]]-A6</f>
        <v>45000000</v>
      </c>
      <c r="C7">
        <f>Channels!B7*cable_length</f>
        <v>-4.1024134670205363</v>
      </c>
      <c r="D7" s="2">
        <f>Masks!A7</f>
        <v>-98.470325397914564</v>
      </c>
      <c r="E7" s="2">
        <f>Masks!B7</f>
        <v>-98.470325397914564</v>
      </c>
      <c r="F7" s="2">
        <f>Calculate[[#This Row],[Tx_PSD_us]]+Calculate[[#This Row],[IL]]</f>
        <v>-102.5727388649351</v>
      </c>
      <c r="G7" s="2">
        <f>Calculate[[#This Row],[Tx_PSD_ds]]+Calculate[[#This Row],[IL]]</f>
        <v>-102.5727388649351</v>
      </c>
      <c r="H7" s="2">
        <f>Masks[[#This Row],[channel_echo]]</f>
        <v>-21.186153432294272</v>
      </c>
      <c r="I7" s="2">
        <f>Masks[[#This Row],[channel_echo]]</f>
        <v>-21.186153432294272</v>
      </c>
      <c r="J7" s="2">
        <f>Calculate[[#This Row],[Echo_transfer_us]]+Calculate[[#This Row],[Tx_PSD_ds]]</f>
        <v>-119.65647883020884</v>
      </c>
      <c r="K7" s="2">
        <f>Calculate[[#This Row],[Echo_transfer_ds]]+Calculate[[#This Row],[Tx_PSD_us]]</f>
        <v>-119.65647883020884</v>
      </c>
      <c r="L7" s="2">
        <f t="shared" si="0"/>
        <v>-140</v>
      </c>
      <c r="M7" s="2">
        <f t="shared" si="1"/>
        <v>-140</v>
      </c>
      <c r="N7" s="2">
        <f t="shared" si="2"/>
        <v>5</v>
      </c>
      <c r="O7" s="2">
        <f t="shared" si="3"/>
        <v>5</v>
      </c>
      <c r="P7" s="2">
        <f>10*LOG10((10^(Calculate[[#This Row],[Rx_echo_us]]/10))-(10^((Masks[[#This Row],[connector_echo]]+Calculate[[#This Row],[Tx_PSD_ds]])/10))*EC_conector_ratio_us)-Calculate[[#This Row],[EC_cancelation_us]]</f>
        <v>-143.4703253979153</v>
      </c>
      <c r="Q7" s="2">
        <f>10*LOG10((10^(Calculate[[#This Row],[Rx_echo_ds]]/10))-(10^((Masks[[#This Row],[connector_echo]]+Calculate[[#This Row],[Tx_PSD_us]])/10))*EC_conector_ratio_ds)-Calculate[[#This Row],[EC_cancelation_ds]]</f>
        <v>-143.4703253979153</v>
      </c>
      <c r="R7" s="2">
        <f>10*LOG10(POWER(10,Calculate[[#This Row],[AFE_noise_us]]/10)+POWER(10,Calculate[[#This Row],[Echo_res_us]]/10))</f>
        <v>-138.38708034075682</v>
      </c>
      <c r="S7" s="2">
        <f>10*LOG10(POWER(10,Calculate[[#This Row],[AFE_noise_ds]]/10)+POWER(10,Calculate[[#This Row],[Echo_res_ds]]/10))</f>
        <v>-138.38708034075682</v>
      </c>
      <c r="T7" s="2">
        <f>Calculate[[#This Row],[Rx_PSD_us]]-Calculate[[#This Row],[Noise_us]]</f>
        <v>35.81434147582172</v>
      </c>
      <c r="U7" s="2">
        <f>Calculate[[#This Row],[Rx_PSD_ds]]-Calculate[[#This Row],[Noise_ds]]</f>
        <v>35.81434147582172</v>
      </c>
      <c r="V7" s="2">
        <f>POWER(10,Calculate[[#This Row],[SNRdB_us]]/10)</f>
        <v>3814.4695078948416</v>
      </c>
      <c r="W7" s="2">
        <f>POWER(10,Calculate[[#This Row],[SNRdB_ds]]/10)</f>
        <v>3814.4695078948416</v>
      </c>
      <c r="X7" s="2">
        <f>-(0.002*Calculate[[#This Row],[Freq]]/1000000/2.5+0.68*(Calculate[[#This Row],[Freq]]/1000000/2.5)^0.45)</f>
        <v>-5.807773900228808</v>
      </c>
      <c r="AA7" s="5" t="s">
        <v>47</v>
      </c>
      <c r="AB7" s="11">
        <f>AB6-Config!B21</f>
        <v>3.9760785612884551E-4</v>
      </c>
      <c r="AC7" s="11">
        <f>AC6-Config!C21</f>
        <v>3.9760785612884551E-4</v>
      </c>
    </row>
    <row r="8" spans="1:29" ht="15.75" thickBot="1" x14ac:dyDescent="0.3">
      <c r="A8" s="34">
        <f t="shared" si="4"/>
        <v>315000000</v>
      </c>
      <c r="B8" s="1">
        <f>Calculate[[#This Row],[Freq]]-A7</f>
        <v>45000000</v>
      </c>
      <c r="C8">
        <f>Channels!B8*cable_length</f>
        <v>-4.4548078522595347</v>
      </c>
      <c r="D8" s="2">
        <f>Masks!A8</f>
        <v>-98.470325397914564</v>
      </c>
      <c r="E8" s="2">
        <f>Masks!B8</f>
        <v>-98.470325397914564</v>
      </c>
      <c r="F8" s="2">
        <f>Calculate[[#This Row],[Tx_PSD_us]]+Calculate[[#This Row],[IL]]</f>
        <v>-102.9251332501741</v>
      </c>
      <c r="G8" s="2">
        <f>Calculate[[#This Row],[Tx_PSD_ds]]+Calculate[[#This Row],[IL]]</f>
        <v>-102.9251332501741</v>
      </c>
      <c r="H8" s="2">
        <f>Masks[[#This Row],[channel_echo]]</f>
        <v>-20.770151842911172</v>
      </c>
      <c r="I8" s="2">
        <f>Masks[[#This Row],[channel_echo]]</f>
        <v>-20.770151842911172</v>
      </c>
      <c r="J8" s="2">
        <f>Calculate[[#This Row],[Echo_transfer_us]]+Calculate[[#This Row],[Tx_PSD_ds]]</f>
        <v>-119.24047724082574</v>
      </c>
      <c r="K8" s="2">
        <f>Calculate[[#This Row],[Echo_transfer_ds]]+Calculate[[#This Row],[Tx_PSD_us]]</f>
        <v>-119.24047724082574</v>
      </c>
      <c r="L8" s="2">
        <f t="shared" si="0"/>
        <v>-140</v>
      </c>
      <c r="M8" s="2">
        <f t="shared" si="1"/>
        <v>-140</v>
      </c>
      <c r="N8" s="2">
        <f t="shared" si="2"/>
        <v>5</v>
      </c>
      <c r="O8" s="2">
        <f t="shared" si="3"/>
        <v>5</v>
      </c>
      <c r="P8" s="2">
        <f>10*LOG10((10^(Calculate[[#This Row],[Rx_echo_us]]/10))-(10^((Masks[[#This Row],[connector_echo]]+Calculate[[#This Row],[Tx_PSD_ds]])/10))*EC_conector_ratio_us)-Calculate[[#This Row],[EC_cancelation_us]]</f>
        <v>-143.47032539791394</v>
      </c>
      <c r="Q8" s="2">
        <f>10*LOG10((10^(Calculate[[#This Row],[Rx_echo_ds]]/10))-(10^((Masks[[#This Row],[connector_echo]]+Calculate[[#This Row],[Tx_PSD_us]])/10))*EC_conector_ratio_ds)-Calculate[[#This Row],[EC_cancelation_ds]]</f>
        <v>-143.47032539791394</v>
      </c>
      <c r="R8" s="2">
        <f>10*LOG10(POWER(10,Calculate[[#This Row],[AFE_noise_us]]/10)+POWER(10,Calculate[[#This Row],[Echo_res_us]]/10))</f>
        <v>-138.3870803407564</v>
      </c>
      <c r="S8" s="2">
        <f>10*LOG10(POWER(10,Calculate[[#This Row],[AFE_noise_ds]]/10)+POWER(10,Calculate[[#This Row],[Echo_res_ds]]/10))</f>
        <v>-138.3870803407564</v>
      </c>
      <c r="T8" s="2">
        <f>Calculate[[#This Row],[Rx_PSD_us]]-Calculate[[#This Row],[Noise_us]]</f>
        <v>35.461947090582299</v>
      </c>
      <c r="U8" s="2">
        <f>Calculate[[#This Row],[Rx_PSD_ds]]-Calculate[[#This Row],[Noise_ds]]</f>
        <v>35.461947090582299</v>
      </c>
      <c r="V8" s="2">
        <f>POWER(10,Calculate[[#This Row],[SNRdB_us]]/10)</f>
        <v>3517.1809242607414</v>
      </c>
      <c r="W8" s="2">
        <f>POWER(10,Calculate[[#This Row],[SNRdB_ds]]/10)</f>
        <v>3517.1809242607414</v>
      </c>
      <c r="X8" s="2">
        <f>-(0.002*Calculate[[#This Row],[Freq]]/1000000/2.5+0.68*(Calculate[[#This Row],[Freq]]/1000000/2.5)^0.45)</f>
        <v>-6.2454330448947344</v>
      </c>
      <c r="AA8" s="7" t="s">
        <v>48</v>
      </c>
      <c r="AB8" s="12">
        <f>(Config!B10*Config!B10-1)/3*POWER(_xlfn.NORM.INV(1-Config!B10*AB7/2/(Config!B10-1),0,1),2)</f>
        <v>60.032665901556769</v>
      </c>
      <c r="AC8" s="12">
        <f>(Config!C10*Config!C10-1)/3*POWER(_xlfn.NORM.INV(1-Config!C10*AC7/2/(Config!C10-1),0,1),2)</f>
        <v>60.032665901556769</v>
      </c>
    </row>
    <row r="9" spans="1:29" ht="15.75" thickBot="1" x14ac:dyDescent="0.3">
      <c r="A9" s="34">
        <f t="shared" si="4"/>
        <v>360000000</v>
      </c>
      <c r="B9" s="1">
        <f>Calculate[[#This Row],[Freq]]-A8</f>
        <v>45000000</v>
      </c>
      <c r="C9">
        <f>Channels!B9*cable_length</f>
        <v>-4.7859673220043044</v>
      </c>
      <c r="D9" s="2">
        <f>Masks!A9</f>
        <v>-98.470325397914564</v>
      </c>
      <c r="E9" s="2">
        <f>Masks!B9</f>
        <v>-98.470325397914564</v>
      </c>
      <c r="F9" s="2">
        <f>Calculate[[#This Row],[Tx_PSD_us]]+Calculate[[#This Row],[IL]]</f>
        <v>-103.25629271991887</v>
      </c>
      <c r="G9" s="2">
        <f>Calculate[[#This Row],[Tx_PSD_ds]]+Calculate[[#This Row],[IL]]</f>
        <v>-103.25629271991887</v>
      </c>
      <c r="H9" s="2">
        <f>Masks[[#This Row],[channel_echo]]</f>
        <v>-20.390538042661689</v>
      </c>
      <c r="I9" s="2">
        <f>Masks[[#This Row],[channel_echo]]</f>
        <v>-20.390538042661689</v>
      </c>
      <c r="J9" s="2">
        <f>Calculate[[#This Row],[Echo_transfer_us]]+Calculate[[#This Row],[Tx_PSD_ds]]</f>
        <v>-118.86086344057625</v>
      </c>
      <c r="K9" s="2">
        <f>Calculate[[#This Row],[Echo_transfer_ds]]+Calculate[[#This Row],[Tx_PSD_us]]</f>
        <v>-118.86086344057625</v>
      </c>
      <c r="L9" s="2">
        <f t="shared" si="0"/>
        <v>-140</v>
      </c>
      <c r="M9" s="2">
        <f t="shared" si="1"/>
        <v>-140</v>
      </c>
      <c r="N9" s="2">
        <f t="shared" si="2"/>
        <v>5</v>
      </c>
      <c r="O9" s="2">
        <f t="shared" si="3"/>
        <v>5</v>
      </c>
      <c r="P9" s="2">
        <f>10*LOG10((10^(Calculate[[#This Row],[Rx_echo_us]]/10))-(10^((Masks[[#This Row],[connector_echo]]+Calculate[[#This Row],[Tx_PSD_ds]])/10))*EC_conector_ratio_us)-Calculate[[#This Row],[EC_cancelation_us]]</f>
        <v>-143.47032539791601</v>
      </c>
      <c r="Q9" s="2">
        <f>10*LOG10((10^(Calculate[[#This Row],[Rx_echo_ds]]/10))-(10^((Masks[[#This Row],[connector_echo]]+Calculate[[#This Row],[Tx_PSD_us]])/10))*EC_conector_ratio_ds)-Calculate[[#This Row],[EC_cancelation_ds]]</f>
        <v>-143.47032539791601</v>
      </c>
      <c r="R9" s="2">
        <f>10*LOG10(POWER(10,Calculate[[#This Row],[AFE_noise_us]]/10)+POWER(10,Calculate[[#This Row],[Echo_res_us]]/10))</f>
        <v>-138.38708034075705</v>
      </c>
      <c r="S9" s="2">
        <f>10*LOG10(POWER(10,Calculate[[#This Row],[AFE_noise_ds]]/10)+POWER(10,Calculate[[#This Row],[Echo_res_ds]]/10))</f>
        <v>-138.38708034075705</v>
      </c>
      <c r="T9" s="2">
        <f>Calculate[[#This Row],[Rx_PSD_us]]-Calculate[[#This Row],[Noise_us]]</f>
        <v>35.130787620838177</v>
      </c>
      <c r="U9" s="2">
        <f>Calculate[[#This Row],[Rx_PSD_ds]]-Calculate[[#This Row],[Noise_ds]]</f>
        <v>35.130787620838177</v>
      </c>
      <c r="V9" s="2">
        <f>POWER(10,Calculate[[#This Row],[SNRdB_us]]/10)</f>
        <v>3258.9579893185219</v>
      </c>
      <c r="W9" s="2">
        <f>POWER(10,Calculate[[#This Row],[SNRdB_ds]]/10)</f>
        <v>3258.9579893185219</v>
      </c>
      <c r="X9" s="2">
        <f>-(0.002*Calculate[[#This Row],[Freq]]/1000000/2.5+0.68*(Calculate[[#This Row],[Freq]]/1000000/2.5)^0.45)</f>
        <v>-6.6526134779391164</v>
      </c>
      <c r="AA9" s="13" t="s">
        <v>49</v>
      </c>
      <c r="AB9" s="8">
        <f>10*LOG10(AB8)</f>
        <v>17.783876297231537</v>
      </c>
      <c r="AC9" s="8">
        <f>10*LOG10(AC8)</f>
        <v>17.783876297231537</v>
      </c>
    </row>
    <row r="10" spans="1:29" ht="15.75" thickBot="1" x14ac:dyDescent="0.3">
      <c r="A10" s="34">
        <f t="shared" si="4"/>
        <v>405000000</v>
      </c>
      <c r="B10" s="1">
        <f>Calculate[[#This Row],[Freq]]-A9</f>
        <v>45000000</v>
      </c>
      <c r="C10">
        <f>Channels!B10*cable_length</f>
        <v>-5.0997725875700182</v>
      </c>
      <c r="D10" s="2">
        <f>Masks!A10</f>
        <v>-98.470325397914564</v>
      </c>
      <c r="E10" s="2">
        <f>Masks!B10</f>
        <v>-98.470325397914564</v>
      </c>
      <c r="F10" s="2">
        <f>Calculate[[#This Row],[Tx_PSD_us]]+Calculate[[#This Row],[IL]]</f>
        <v>-103.57009798548458</v>
      </c>
      <c r="G10" s="2">
        <f>Calculate[[#This Row],[Tx_PSD_ds]]+Calculate[[#This Row],[IL]]</f>
        <v>-103.57009798548458</v>
      </c>
      <c r="H10" s="2">
        <f>Masks[[#This Row],[channel_echo]]</f>
        <v>-20.04145520125434</v>
      </c>
      <c r="I10" s="2">
        <f>Masks[[#This Row],[channel_echo]]</f>
        <v>-20.04145520125434</v>
      </c>
      <c r="J10" s="2">
        <f>Calculate[[#This Row],[Echo_transfer_us]]+Calculate[[#This Row],[Tx_PSD_ds]]</f>
        <v>-118.5117805991689</v>
      </c>
      <c r="K10" s="2">
        <f>Calculate[[#This Row],[Echo_transfer_ds]]+Calculate[[#This Row],[Tx_PSD_us]]</f>
        <v>-118.5117805991689</v>
      </c>
      <c r="L10" s="2">
        <f t="shared" si="0"/>
        <v>-140</v>
      </c>
      <c r="M10" s="2">
        <f t="shared" si="1"/>
        <v>-140</v>
      </c>
      <c r="N10" s="2">
        <f t="shared" si="2"/>
        <v>5</v>
      </c>
      <c r="O10" s="2">
        <f t="shared" si="3"/>
        <v>5</v>
      </c>
      <c r="P10" s="2">
        <f>10*LOG10((10^(Calculate[[#This Row],[Rx_echo_us]]/10))-(10^((Masks[[#This Row],[connector_echo]]+Calculate[[#This Row],[Tx_PSD_ds]])/10))*EC_conector_ratio_us)-Calculate[[#This Row],[EC_cancelation_us]]</f>
        <v>-143.470325397913</v>
      </c>
      <c r="Q10" s="2">
        <f>10*LOG10((10^(Calculate[[#This Row],[Rx_echo_ds]]/10))-(10^((Masks[[#This Row],[connector_echo]]+Calculate[[#This Row],[Tx_PSD_us]])/10))*EC_conector_ratio_ds)-Calculate[[#This Row],[EC_cancelation_ds]]</f>
        <v>-143.470325397913</v>
      </c>
      <c r="R10" s="2">
        <f>10*LOG10(POWER(10,Calculate[[#This Row],[AFE_noise_us]]/10)+POWER(10,Calculate[[#This Row],[Echo_res_us]]/10))</f>
        <v>-138.38708034075611</v>
      </c>
      <c r="S10" s="2">
        <f>10*LOG10(POWER(10,Calculate[[#This Row],[AFE_noise_ds]]/10)+POWER(10,Calculate[[#This Row],[Echo_res_ds]]/10))</f>
        <v>-138.38708034075611</v>
      </c>
      <c r="T10" s="2">
        <f>Calculate[[#This Row],[Rx_PSD_us]]-Calculate[[#This Row],[Noise_us]]</f>
        <v>34.816982355271534</v>
      </c>
      <c r="U10" s="2">
        <f>Calculate[[#This Row],[Rx_PSD_ds]]-Calculate[[#This Row],[Noise_ds]]</f>
        <v>34.816982355271534</v>
      </c>
      <c r="V10" s="2">
        <f>POWER(10,Calculate[[#This Row],[SNRdB_us]]/10)</f>
        <v>3031.7838523808364</v>
      </c>
      <c r="W10" s="2">
        <f>POWER(10,Calculate[[#This Row],[SNRdB_ds]]/10)</f>
        <v>3031.7838523808364</v>
      </c>
      <c r="X10" s="2">
        <f>-(0.002*Calculate[[#This Row],[Freq]]/1000000/2.5+0.68*(Calculate[[#This Row],[Freq]]/1000000/2.5)^0.45)</f>
        <v>-7.0350530095023451</v>
      </c>
    </row>
    <row r="11" spans="1:29" ht="15.75" thickBot="1" x14ac:dyDescent="0.3">
      <c r="A11" s="34">
        <f t="shared" si="4"/>
        <v>450000000</v>
      </c>
      <c r="B11" s="1">
        <f>Calculate[[#This Row],[Freq]]-A10</f>
        <v>45000000</v>
      </c>
      <c r="C11">
        <f>Channels!B11*cable_length</f>
        <v>-5.3990491712440027</v>
      </c>
      <c r="D11" s="2">
        <f>Masks!A11</f>
        <v>-98.470325397914564</v>
      </c>
      <c r="E11" s="2">
        <f>Masks!B11</f>
        <v>-98.470325397914564</v>
      </c>
      <c r="F11" s="2">
        <f>Calculate[[#This Row],[Tx_PSD_us]]+Calculate[[#This Row],[IL]]</f>
        <v>-103.86937456915857</v>
      </c>
      <c r="G11" s="2">
        <f>Calculate[[#This Row],[Tx_PSD_ds]]+Calculate[[#This Row],[IL]]</f>
        <v>-103.86937456915857</v>
      </c>
      <c r="H11" s="2">
        <f>Masks[[#This Row],[channel_echo]]</f>
        <v>-19.718355805755305</v>
      </c>
      <c r="I11" s="2">
        <f>Masks[[#This Row],[channel_echo]]</f>
        <v>-19.718355805755305</v>
      </c>
      <c r="J11" s="2">
        <f>Calculate[[#This Row],[Echo_transfer_us]]+Calculate[[#This Row],[Tx_PSD_ds]]</f>
        <v>-118.18868120366987</v>
      </c>
      <c r="K11" s="2">
        <f>Calculate[[#This Row],[Echo_transfer_ds]]+Calculate[[#This Row],[Tx_PSD_us]]</f>
        <v>-118.18868120366987</v>
      </c>
      <c r="L11" s="2">
        <f t="shared" si="0"/>
        <v>-140</v>
      </c>
      <c r="M11" s="2">
        <f t="shared" si="1"/>
        <v>-140</v>
      </c>
      <c r="N11" s="2">
        <f t="shared" si="2"/>
        <v>5</v>
      </c>
      <c r="O11" s="2">
        <f t="shared" si="3"/>
        <v>5</v>
      </c>
      <c r="P11" s="2">
        <f>10*LOG10((10^(Calculate[[#This Row],[Rx_echo_us]]/10))-(10^((Masks[[#This Row],[connector_echo]]+Calculate[[#This Row],[Tx_PSD_ds]])/10))*EC_conector_ratio_us)-Calculate[[#This Row],[EC_cancelation_us]]</f>
        <v>-143.47032539791491</v>
      </c>
      <c r="Q11" s="2">
        <f>10*LOG10((10^(Calculate[[#This Row],[Rx_echo_ds]]/10))-(10^((Masks[[#This Row],[connector_echo]]+Calculate[[#This Row],[Tx_PSD_us]])/10))*EC_conector_ratio_ds)-Calculate[[#This Row],[EC_cancelation_ds]]</f>
        <v>-143.47032539791491</v>
      </c>
      <c r="R11" s="2">
        <f>10*LOG10(POWER(10,Calculate[[#This Row],[AFE_noise_us]]/10)+POWER(10,Calculate[[#This Row],[Echo_res_us]]/10))</f>
        <v>-138.38708034075668</v>
      </c>
      <c r="S11" s="2">
        <f>10*LOG10(POWER(10,Calculate[[#This Row],[AFE_noise_ds]]/10)+POWER(10,Calculate[[#This Row],[Echo_res_ds]]/10))</f>
        <v>-138.38708034075668</v>
      </c>
      <c r="T11" s="2">
        <f>Calculate[[#This Row],[Rx_PSD_us]]-Calculate[[#This Row],[Noise_us]]</f>
        <v>34.517705771598116</v>
      </c>
      <c r="U11" s="2">
        <f>Calculate[[#This Row],[Rx_PSD_ds]]-Calculate[[#This Row],[Noise_ds]]</f>
        <v>34.517705771598116</v>
      </c>
      <c r="V11" s="2">
        <f>POWER(10,Calculate[[#This Row],[SNRdB_us]]/10)</f>
        <v>2829.8966637754634</v>
      </c>
      <c r="W11" s="2">
        <f>POWER(10,Calculate[[#This Row],[SNRdB_ds]]/10)</f>
        <v>2829.8966637754634</v>
      </c>
      <c r="X11" s="2">
        <f>-(0.002*Calculate[[#This Row],[Freq]]/1000000/2.5+0.68*(Calculate[[#This Row],[Freq]]/1000000/2.5)^0.45)</f>
        <v>-7.3969026022902815</v>
      </c>
      <c r="AA11" s="13" t="s">
        <v>83</v>
      </c>
      <c r="AB11" s="104">
        <f>f_max/200</f>
        <v>45000000</v>
      </c>
      <c r="AC11" s="105"/>
    </row>
    <row r="12" spans="1:29" x14ac:dyDescent="0.25">
      <c r="A12" s="34">
        <f t="shared" si="4"/>
        <v>495000000</v>
      </c>
      <c r="B12" s="1">
        <f>Calculate[[#This Row],[Freq]]-A11</f>
        <v>45000000</v>
      </c>
      <c r="C12">
        <f>Channels!B12*cable_length</f>
        <v>-5.685930114120759</v>
      </c>
      <c r="D12" s="2">
        <f>Masks!A12</f>
        <v>-98.470325397914564</v>
      </c>
      <c r="E12" s="2">
        <f>Masks!B12</f>
        <v>-98.470325397914564</v>
      </c>
      <c r="F12" s="2">
        <f>Calculate[[#This Row],[Tx_PSD_us]]+Calculate[[#This Row],[IL]]</f>
        <v>-104.15625551203533</v>
      </c>
      <c r="G12" s="2">
        <f>Calculate[[#This Row],[Tx_PSD_ds]]+Calculate[[#This Row],[IL]]</f>
        <v>-104.15625551203533</v>
      </c>
      <c r="H12" s="2">
        <f>Masks[[#This Row],[channel_echo]]</f>
        <v>-19.417638310572329</v>
      </c>
      <c r="I12" s="2">
        <f>Masks[[#This Row],[channel_echo]]</f>
        <v>-19.417638310572329</v>
      </c>
      <c r="J12" s="2">
        <f>Calculate[[#This Row],[Echo_transfer_us]]+Calculate[[#This Row],[Tx_PSD_ds]]</f>
        <v>-117.88796370848689</v>
      </c>
      <c r="K12" s="2">
        <f>Calculate[[#This Row],[Echo_transfer_ds]]+Calculate[[#This Row],[Tx_PSD_us]]</f>
        <v>-117.88796370848689</v>
      </c>
      <c r="L12" s="2">
        <f t="shared" si="0"/>
        <v>-140</v>
      </c>
      <c r="M12" s="2">
        <f t="shared" si="1"/>
        <v>-140</v>
      </c>
      <c r="N12" s="2">
        <f t="shared" si="2"/>
        <v>5</v>
      </c>
      <c r="O12" s="2">
        <f t="shared" si="3"/>
        <v>5</v>
      </c>
      <c r="P12" s="2">
        <f>10*LOG10((10^(Calculate[[#This Row],[Rx_echo_us]]/10))-(10^((Masks[[#This Row],[connector_echo]]+Calculate[[#This Row],[Tx_PSD_ds]])/10))*EC_conector_ratio_us)-Calculate[[#This Row],[EC_cancelation_us]]</f>
        <v>-143.47032539791743</v>
      </c>
      <c r="Q12" s="2">
        <f>10*LOG10((10^(Calculate[[#This Row],[Rx_echo_ds]]/10))-(10^((Masks[[#This Row],[connector_echo]]+Calculate[[#This Row],[Tx_PSD_us]])/10))*EC_conector_ratio_ds)-Calculate[[#This Row],[EC_cancelation_ds]]</f>
        <v>-143.47032539791743</v>
      </c>
      <c r="R12" s="2">
        <f>10*LOG10(POWER(10,Calculate[[#This Row],[AFE_noise_us]]/10)+POWER(10,Calculate[[#This Row],[Echo_res_us]]/10))</f>
        <v>-138.38708034075748</v>
      </c>
      <c r="S12" s="2">
        <f>10*LOG10(POWER(10,Calculate[[#This Row],[AFE_noise_ds]]/10)+POWER(10,Calculate[[#This Row],[Echo_res_ds]]/10))</f>
        <v>-138.38708034075748</v>
      </c>
      <c r="T12" s="2">
        <f>Calculate[[#This Row],[Rx_PSD_us]]-Calculate[[#This Row],[Noise_us]]</f>
        <v>34.230824828722149</v>
      </c>
      <c r="U12" s="2">
        <f>Calculate[[#This Row],[Rx_PSD_ds]]-Calculate[[#This Row],[Noise_ds]]</f>
        <v>34.230824828722149</v>
      </c>
      <c r="V12" s="2">
        <f>POWER(10,Calculate[[#This Row],[SNRdB_us]]/10)</f>
        <v>2649.0031996721832</v>
      </c>
      <c r="W12" s="2">
        <f>POWER(10,Calculate[[#This Row],[SNRdB_ds]]/10)</f>
        <v>2649.0031996721832</v>
      </c>
      <c r="X12" s="2">
        <f>-(0.002*Calculate[[#This Row],[Freq]]/1000000/2.5+0.68*(Calculate[[#This Row],[Freq]]/1000000/2.5)^0.45)</f>
        <v>-7.7412781852051582</v>
      </c>
      <c r="AA12" s="26" t="s">
        <v>63</v>
      </c>
      <c r="AB12" s="30">
        <f>Config!B4*1000000000*AB14/LOG(Config!B10,2)/Config!B15*(1+Config!B16)</f>
        <v>14062500000.000002</v>
      </c>
      <c r="AC12" s="30">
        <f>Config!C4*1000000000*AC14/LOG(Config!C10,2)/Config!C15*(1+Config!C16)</f>
        <v>14062500000.000002</v>
      </c>
    </row>
    <row r="13" spans="1:29" x14ac:dyDescent="0.25">
      <c r="A13" s="34">
        <f t="shared" si="4"/>
        <v>540000000</v>
      </c>
      <c r="B13" s="1">
        <f>Calculate[[#This Row],[Freq]]-A12</f>
        <v>45000000</v>
      </c>
      <c r="C13">
        <f>Channels!B13*cable_length</f>
        <v>-5.9620725769509502</v>
      </c>
      <c r="D13" s="2">
        <f>Masks!A13</f>
        <v>-98.470325397914564</v>
      </c>
      <c r="E13" s="2">
        <f>Masks!B13</f>
        <v>-98.470325397914564</v>
      </c>
      <c r="F13" s="2">
        <f>Calculate[[#This Row],[Tx_PSD_us]]+Calculate[[#This Row],[IL]]</f>
        <v>-104.43239797486551</v>
      </c>
      <c r="G13" s="2">
        <f>Calculate[[#This Row],[Tx_PSD_ds]]+Calculate[[#This Row],[IL]]</f>
        <v>-104.43239797486551</v>
      </c>
      <c r="H13" s="2">
        <f>Masks[[#This Row],[channel_echo]]</f>
        <v>-19.13640169325252</v>
      </c>
      <c r="I13" s="2">
        <f>Masks[[#This Row],[channel_echo]]</f>
        <v>-19.13640169325252</v>
      </c>
      <c r="J13" s="2">
        <f>Calculate[[#This Row],[Echo_transfer_us]]+Calculate[[#This Row],[Tx_PSD_ds]]</f>
        <v>-117.60672709116709</v>
      </c>
      <c r="K13" s="2">
        <f>Calculate[[#This Row],[Echo_transfer_ds]]+Calculate[[#This Row],[Tx_PSD_us]]</f>
        <v>-117.60672709116709</v>
      </c>
      <c r="L13" s="2">
        <f t="shared" si="0"/>
        <v>-140</v>
      </c>
      <c r="M13" s="2">
        <f t="shared" si="1"/>
        <v>-140</v>
      </c>
      <c r="N13" s="2">
        <f t="shared" si="2"/>
        <v>5</v>
      </c>
      <c r="O13" s="2">
        <f t="shared" si="3"/>
        <v>5</v>
      </c>
      <c r="P13" s="2">
        <f>10*LOG10((10^(Calculate[[#This Row],[Rx_echo_us]]/10))-(10^((Masks[[#This Row],[connector_echo]]+Calculate[[#This Row],[Tx_PSD_ds]])/10))*EC_conector_ratio_us)-Calculate[[#This Row],[EC_cancelation_us]]</f>
        <v>-143.47032539791221</v>
      </c>
      <c r="Q13" s="2">
        <f>10*LOG10((10^(Calculate[[#This Row],[Rx_echo_ds]]/10))-(10^((Masks[[#This Row],[connector_echo]]+Calculate[[#This Row],[Tx_PSD_us]])/10))*EC_conector_ratio_ds)-Calculate[[#This Row],[EC_cancelation_ds]]</f>
        <v>-143.47032539791221</v>
      </c>
      <c r="R13" s="2">
        <f>10*LOG10(POWER(10,Calculate[[#This Row],[AFE_noise_us]]/10)+POWER(10,Calculate[[#This Row],[Echo_res_us]]/10))</f>
        <v>-138.38708034075586</v>
      </c>
      <c r="S13" s="2">
        <f>10*LOG10(POWER(10,Calculate[[#This Row],[AFE_noise_ds]]/10)+POWER(10,Calculate[[#This Row],[Echo_res_ds]]/10))</f>
        <v>-138.38708034075586</v>
      </c>
      <c r="T13" s="2">
        <f>Calculate[[#This Row],[Rx_PSD_us]]-Calculate[[#This Row],[Noise_us]]</f>
        <v>33.954682365890349</v>
      </c>
      <c r="U13" s="2">
        <f>Calculate[[#This Row],[Rx_PSD_ds]]-Calculate[[#This Row],[Noise_ds]]</f>
        <v>33.954682365890349</v>
      </c>
      <c r="V13" s="2">
        <f>POWER(10,Calculate[[#This Row],[SNRdB_us]]/10)</f>
        <v>2485.8117503876683</v>
      </c>
      <c r="W13" s="2">
        <f>POWER(10,Calculate[[#This Row],[SNRdB_ds]]/10)</f>
        <v>2485.8117503876683</v>
      </c>
      <c r="X13" s="2">
        <f>-(0.002*Calculate[[#This Row],[Freq]]/1000000/2.5+0.68*(Calculate[[#This Row],[Freq]]/1000000/2.5)^0.45)</f>
        <v>-8.0705882543810876</v>
      </c>
      <c r="AA13" s="27" t="s">
        <v>64</v>
      </c>
      <c r="AB13" s="31">
        <f>AB12/2</f>
        <v>7031250000.000001</v>
      </c>
      <c r="AC13" s="54">
        <f>AC12/2</f>
        <v>7031250000.000001</v>
      </c>
    </row>
    <row r="14" spans="1:29" ht="15.75" thickBot="1" x14ac:dyDescent="0.3">
      <c r="A14" s="34">
        <f t="shared" si="4"/>
        <v>585000000</v>
      </c>
      <c r="B14" s="1">
        <f>Calculate[[#This Row],[Freq]]-A13</f>
        <v>45000000</v>
      </c>
      <c r="C14">
        <f>Channels!B14*cable_length</f>
        <v>-6.2287944126856614</v>
      </c>
      <c r="D14" s="2">
        <f>Masks!A14</f>
        <v>-98.470325397914564</v>
      </c>
      <c r="E14" s="2">
        <f>Masks!B14</f>
        <v>-98.470325397914564</v>
      </c>
      <c r="F14" s="2">
        <f>Calculate[[#This Row],[Tx_PSD_us]]+Calculate[[#This Row],[IL]]</f>
        <v>-104.69911981060022</v>
      </c>
      <c r="G14" s="2">
        <f>Calculate[[#This Row],[Tx_PSD_ds]]+Calculate[[#This Row],[IL]]</f>
        <v>-104.69911981060022</v>
      </c>
      <c r="H14" s="2">
        <f>Masks[[#This Row],[channel_echo]]</f>
        <v>-18.872274788946303</v>
      </c>
      <c r="I14" s="2">
        <f>Masks[[#This Row],[channel_echo]]</f>
        <v>-18.872274788946303</v>
      </c>
      <c r="J14" s="2">
        <f>Calculate[[#This Row],[Echo_transfer_us]]+Calculate[[#This Row],[Tx_PSD_ds]]</f>
        <v>-117.34260018686086</v>
      </c>
      <c r="K14" s="2">
        <f>Calculate[[#This Row],[Echo_transfer_ds]]+Calculate[[#This Row],[Tx_PSD_us]]</f>
        <v>-117.34260018686086</v>
      </c>
      <c r="L14" s="2">
        <f t="shared" si="0"/>
        <v>-140</v>
      </c>
      <c r="M14" s="2">
        <f t="shared" si="1"/>
        <v>-140</v>
      </c>
      <c r="N14" s="2">
        <f t="shared" si="2"/>
        <v>5</v>
      </c>
      <c r="O14" s="2">
        <f t="shared" si="3"/>
        <v>5</v>
      </c>
      <c r="P14" s="2">
        <f>10*LOG10((10^(Calculate[[#This Row],[Rx_echo_us]]/10))-(10^((Masks[[#This Row],[connector_echo]]+Calculate[[#This Row],[Tx_PSD_ds]])/10))*EC_conector_ratio_us)-Calculate[[#This Row],[EC_cancelation_us]]</f>
        <v>-143.47032539791621</v>
      </c>
      <c r="Q14" s="2">
        <f>10*LOG10((10^(Calculate[[#This Row],[Rx_echo_ds]]/10))-(10^((Masks[[#This Row],[connector_echo]]+Calculate[[#This Row],[Tx_PSD_us]])/10))*EC_conector_ratio_ds)-Calculate[[#This Row],[EC_cancelation_ds]]</f>
        <v>-143.47032539791621</v>
      </c>
      <c r="R14" s="2">
        <f>10*LOG10(POWER(10,Calculate[[#This Row],[AFE_noise_us]]/10)+POWER(10,Calculate[[#This Row],[Echo_res_us]]/10))</f>
        <v>-138.38708034075711</v>
      </c>
      <c r="S14" s="2">
        <f>10*LOG10(POWER(10,Calculate[[#This Row],[AFE_noise_ds]]/10)+POWER(10,Calculate[[#This Row],[Echo_res_ds]]/10))</f>
        <v>-138.38708034075711</v>
      </c>
      <c r="T14" s="2">
        <f>Calculate[[#This Row],[Rx_PSD_us]]-Calculate[[#This Row],[Noise_us]]</f>
        <v>33.687960530156886</v>
      </c>
      <c r="U14" s="2">
        <f>Calculate[[#This Row],[Rx_PSD_ds]]-Calculate[[#This Row],[Noise_ds]]</f>
        <v>33.687960530156886</v>
      </c>
      <c r="V14" s="2">
        <f>POWER(10,Calculate[[#This Row],[SNRdB_us]]/10)</f>
        <v>2337.7391661798692</v>
      </c>
      <c r="W14" s="2">
        <f>POWER(10,Calculate[[#This Row],[SNRdB_ds]]/10)</f>
        <v>2337.7391661798692</v>
      </c>
      <c r="X14" s="2">
        <f>-(0.002*Calculate[[#This Row],[Freq]]/1000000/2.5+0.68*(Calculate[[#This Row],[Freq]]/1000000/2.5)^0.45)</f>
        <v>-8.3867393572995574</v>
      </c>
      <c r="AA14" s="29" t="s">
        <v>67</v>
      </c>
      <c r="AB14" s="32">
        <f>Config!B11/Config!B12</f>
        <v>1.1042944785276074</v>
      </c>
      <c r="AC14" s="53">
        <f>Config!C11/Config!C12</f>
        <v>1.1042944785276074</v>
      </c>
    </row>
    <row r="15" spans="1:29" x14ac:dyDescent="0.25">
      <c r="A15" s="34">
        <f t="shared" si="4"/>
        <v>630000000</v>
      </c>
      <c r="B15" s="1">
        <f>Calculate[[#This Row],[Freq]]-A14</f>
        <v>45000000</v>
      </c>
      <c r="C15">
        <f>Channels!B15*cable_length</f>
        <v>-6.4871641314314834</v>
      </c>
      <c r="D15" s="2">
        <f>Masks!A15</f>
        <v>-98.470325397914564</v>
      </c>
      <c r="E15" s="2">
        <f>Masks!B15</f>
        <v>-98.470325397914564</v>
      </c>
      <c r="F15" s="2">
        <f>Calculate[[#This Row],[Tx_PSD_us]]+Calculate[[#This Row],[IL]]</f>
        <v>-104.95748952934605</v>
      </c>
      <c r="G15" s="2">
        <f>Calculate[[#This Row],[Tx_PSD_ds]]+Calculate[[#This Row],[IL]]</f>
        <v>-104.95748952934605</v>
      </c>
      <c r="H15" s="2">
        <f>Masks[[#This Row],[channel_echo]]</f>
        <v>-18.62329462763245</v>
      </c>
      <c r="I15" s="2">
        <f>Masks[[#This Row],[channel_echo]]</f>
        <v>-18.62329462763245</v>
      </c>
      <c r="J15" s="2">
        <f>Calculate[[#This Row],[Echo_transfer_us]]+Calculate[[#This Row],[Tx_PSD_ds]]</f>
        <v>-117.09362002554701</v>
      </c>
      <c r="K15" s="2">
        <f>Calculate[[#This Row],[Echo_transfer_ds]]+Calculate[[#This Row],[Tx_PSD_us]]</f>
        <v>-117.09362002554701</v>
      </c>
      <c r="L15" s="2">
        <f t="shared" si="0"/>
        <v>-140</v>
      </c>
      <c r="M15" s="2">
        <f t="shared" si="1"/>
        <v>-140</v>
      </c>
      <c r="N15" s="2">
        <f t="shared" si="2"/>
        <v>5</v>
      </c>
      <c r="O15" s="2">
        <f t="shared" si="3"/>
        <v>5</v>
      </c>
      <c r="P15" s="2">
        <f>10*LOG10((10^(Calculate[[#This Row],[Rx_echo_us]]/10))-(10^((Masks[[#This Row],[connector_echo]]+Calculate[[#This Row],[Tx_PSD_ds]])/10))*EC_conector_ratio_us)-Calculate[[#This Row],[EC_cancelation_us]]</f>
        <v>-143.47032539791596</v>
      </c>
      <c r="Q15" s="2">
        <f>10*LOG10((10^(Calculate[[#This Row],[Rx_echo_ds]]/10))-(10^((Masks[[#This Row],[connector_echo]]+Calculate[[#This Row],[Tx_PSD_us]])/10))*EC_conector_ratio_ds)-Calculate[[#This Row],[EC_cancelation_ds]]</f>
        <v>-143.47032539791596</v>
      </c>
      <c r="R15" s="2">
        <f>10*LOG10(POWER(10,Calculate[[#This Row],[AFE_noise_us]]/10)+POWER(10,Calculate[[#This Row],[Echo_res_us]]/10))</f>
        <v>-138.38708034075702</v>
      </c>
      <c r="S15" s="2">
        <f>10*LOG10(POWER(10,Calculate[[#This Row],[AFE_noise_ds]]/10)+POWER(10,Calculate[[#This Row],[Echo_res_ds]]/10))</f>
        <v>-138.38708034075702</v>
      </c>
      <c r="T15" s="2">
        <f>Calculate[[#This Row],[Rx_PSD_us]]-Calculate[[#This Row],[Noise_us]]</f>
        <v>33.429590811410975</v>
      </c>
      <c r="U15" s="2">
        <f>Calculate[[#This Row],[Rx_PSD_ds]]-Calculate[[#This Row],[Noise_ds]]</f>
        <v>33.429590811410975</v>
      </c>
      <c r="V15" s="2">
        <f>POWER(10,Calculate[[#This Row],[SNRdB_us]]/10)</f>
        <v>2202.7189149622709</v>
      </c>
      <c r="W15" s="2">
        <f>POWER(10,Calculate[[#This Row],[SNRdB_ds]]/10)</f>
        <v>2202.7189149622709</v>
      </c>
      <c r="X15" s="2">
        <f>-(0.002*Calculate[[#This Row],[Freq]]/1000000/2.5+0.68*(Calculate[[#This Row],[Freq]]/1000000/2.5)^0.45)</f>
        <v>-8.6912708154882825</v>
      </c>
    </row>
    <row r="16" spans="1:29" x14ac:dyDescent="0.25">
      <c r="A16" s="34">
        <f t="shared" si="4"/>
        <v>675000000</v>
      </c>
      <c r="B16" s="1">
        <f>Calculate[[#This Row],[Freq]]-A15</f>
        <v>45000000</v>
      </c>
      <c r="C16">
        <f>Channels!B16*cable_length</f>
        <v>-6.7380623387201517</v>
      </c>
      <c r="D16" s="2">
        <f>Masks!A16</f>
        <v>-98.470325397914564</v>
      </c>
      <c r="E16" s="2">
        <f>Masks!B16</f>
        <v>-98.470325397914564</v>
      </c>
      <c r="F16" s="2">
        <f>Calculate[[#This Row],[Tx_PSD_us]]+Calculate[[#This Row],[IL]]</f>
        <v>-105.20838773663472</v>
      </c>
      <c r="G16" s="2">
        <f>Calculate[[#This Row],[Tx_PSD_ds]]+Calculate[[#This Row],[IL]]</f>
        <v>-105.20838773663472</v>
      </c>
      <c r="H16" s="2">
        <f>Masks[[#This Row],[channel_echo]]</f>
        <v>-18.387817803089842</v>
      </c>
      <c r="I16" s="2">
        <f>Masks[[#This Row],[channel_echo]]</f>
        <v>-18.387817803089842</v>
      </c>
      <c r="J16" s="2">
        <f>Calculate[[#This Row],[Echo_transfer_us]]+Calculate[[#This Row],[Tx_PSD_ds]]</f>
        <v>-116.85814320100441</v>
      </c>
      <c r="K16" s="2">
        <f>Calculate[[#This Row],[Echo_transfer_ds]]+Calculate[[#This Row],[Tx_PSD_us]]</f>
        <v>-116.85814320100441</v>
      </c>
      <c r="L16" s="2">
        <f t="shared" si="0"/>
        <v>-140</v>
      </c>
      <c r="M16" s="2">
        <f t="shared" si="1"/>
        <v>-140</v>
      </c>
      <c r="N16" s="2">
        <f t="shared" si="2"/>
        <v>5</v>
      </c>
      <c r="O16" s="2">
        <f t="shared" si="3"/>
        <v>5</v>
      </c>
      <c r="P16" s="2">
        <f>10*LOG10((10^(Calculate[[#This Row],[Rx_echo_us]]/10))-(10^((Masks[[#This Row],[connector_echo]]+Calculate[[#This Row],[Tx_PSD_ds]])/10))*EC_conector_ratio_us)-Calculate[[#This Row],[EC_cancelation_us]]</f>
        <v>-143.47032539791547</v>
      </c>
      <c r="Q16" s="2">
        <f>10*LOG10((10^(Calculate[[#This Row],[Rx_echo_ds]]/10))-(10^((Masks[[#This Row],[connector_echo]]+Calculate[[#This Row],[Tx_PSD_us]])/10))*EC_conector_ratio_ds)-Calculate[[#This Row],[EC_cancelation_ds]]</f>
        <v>-143.47032539791547</v>
      </c>
      <c r="R16" s="2">
        <f>10*LOG10(POWER(10,Calculate[[#This Row],[AFE_noise_us]]/10)+POWER(10,Calculate[[#This Row],[Echo_res_us]]/10))</f>
        <v>-138.38708034075688</v>
      </c>
      <c r="S16" s="2">
        <f>10*LOG10(POWER(10,Calculate[[#This Row],[AFE_noise_ds]]/10)+POWER(10,Calculate[[#This Row],[Echo_res_ds]]/10))</f>
        <v>-138.38708034075688</v>
      </c>
      <c r="T16" s="2">
        <f>Calculate[[#This Row],[Rx_PSD_us]]-Calculate[[#This Row],[Noise_us]]</f>
        <v>33.178692604122162</v>
      </c>
      <c r="U16" s="2">
        <f>Calculate[[#This Row],[Rx_PSD_ds]]-Calculate[[#This Row],[Noise_ds]]</f>
        <v>33.178692604122162</v>
      </c>
      <c r="V16" s="2">
        <f>POWER(10,Calculate[[#This Row],[SNRdB_us]]/10)</f>
        <v>2079.07071146513</v>
      </c>
      <c r="W16" s="2">
        <f>POWER(10,Calculate[[#This Row],[SNRdB_ds]]/10)</f>
        <v>2079.07071146513</v>
      </c>
      <c r="X16" s="2">
        <f>-(0.002*Calculate[[#This Row],[Freq]]/1000000/2.5+0.68*(Calculate[[#This Row],[Freq]]/1000000/2.5)^0.45)</f>
        <v>-8.985446334077043</v>
      </c>
    </row>
    <row r="17" spans="1:24" x14ac:dyDescent="0.25">
      <c r="A17" s="34">
        <f t="shared" si="4"/>
        <v>720000000</v>
      </c>
      <c r="B17" s="1">
        <f>Calculate[[#This Row],[Freq]]-A16</f>
        <v>45000000</v>
      </c>
      <c r="C17">
        <f>Channels!B17*cable_length</f>
        <v>-6.9822249804242347</v>
      </c>
      <c r="D17" s="2">
        <f>Masks!A17</f>
        <v>-98.470325397914564</v>
      </c>
      <c r="E17" s="2">
        <f>Masks!B17</f>
        <v>-98.470325397914564</v>
      </c>
      <c r="F17" s="2">
        <f>Calculate[[#This Row],[Tx_PSD_us]]+Calculate[[#This Row],[IL]]</f>
        <v>-105.4525503783388</v>
      </c>
      <c r="G17" s="2">
        <f>Calculate[[#This Row],[Tx_PSD_ds]]+Calculate[[#This Row],[IL]]</f>
        <v>-105.4525503783388</v>
      </c>
      <c r="H17" s="2">
        <f>Masks[[#This Row],[channel_echo]]</f>
        <v>-18.164454663811387</v>
      </c>
      <c r="I17" s="2">
        <f>Masks[[#This Row],[channel_echo]]</f>
        <v>-18.164454663811387</v>
      </c>
      <c r="J17" s="2">
        <f>Calculate[[#This Row],[Echo_transfer_us]]+Calculate[[#This Row],[Tx_PSD_ds]]</f>
        <v>-116.63478006172595</v>
      </c>
      <c r="K17" s="2">
        <f>Calculate[[#This Row],[Echo_transfer_ds]]+Calculate[[#This Row],[Tx_PSD_us]]</f>
        <v>-116.63478006172595</v>
      </c>
      <c r="L17" s="2">
        <f t="shared" si="0"/>
        <v>-140</v>
      </c>
      <c r="M17" s="2">
        <f t="shared" si="1"/>
        <v>-140</v>
      </c>
      <c r="N17" s="2">
        <f t="shared" si="2"/>
        <v>5</v>
      </c>
      <c r="O17" s="2">
        <f t="shared" si="3"/>
        <v>5</v>
      </c>
      <c r="P17" s="2">
        <f>10*LOG10((10^(Calculate[[#This Row],[Rx_echo_us]]/10))-(10^((Masks[[#This Row],[connector_echo]]+Calculate[[#This Row],[Tx_PSD_ds]])/10))*EC_conector_ratio_us)-Calculate[[#This Row],[EC_cancelation_us]]</f>
        <v>-143.47032539791411</v>
      </c>
      <c r="Q17" s="2">
        <f>10*LOG10((10^(Calculate[[#This Row],[Rx_echo_ds]]/10))-(10^((Masks[[#This Row],[connector_echo]]+Calculate[[#This Row],[Tx_PSD_us]])/10))*EC_conector_ratio_ds)-Calculate[[#This Row],[EC_cancelation_ds]]</f>
        <v>-143.47032539791411</v>
      </c>
      <c r="R17" s="2">
        <f>10*LOG10(POWER(10,Calculate[[#This Row],[AFE_noise_us]]/10)+POWER(10,Calculate[[#This Row],[Echo_res_us]]/10))</f>
        <v>-138.38708034075643</v>
      </c>
      <c r="S17" s="2">
        <f>10*LOG10(POWER(10,Calculate[[#This Row],[AFE_noise_ds]]/10)+POWER(10,Calculate[[#This Row],[Echo_res_ds]]/10))</f>
        <v>-138.38708034075643</v>
      </c>
      <c r="T17" s="2">
        <f>Calculate[[#This Row],[Rx_PSD_us]]-Calculate[[#This Row],[Noise_us]]</f>
        <v>32.934529962417628</v>
      </c>
      <c r="U17" s="2">
        <f>Calculate[[#This Row],[Rx_PSD_ds]]-Calculate[[#This Row],[Noise_ds]]</f>
        <v>32.934529962417628</v>
      </c>
      <c r="V17" s="2">
        <f>POWER(10,Calculate[[#This Row],[SNRdB_us]]/10)</f>
        <v>1965.4092525246112</v>
      </c>
      <c r="W17" s="2">
        <f>POWER(10,Calculate[[#This Row],[SNRdB_ds]]/10)</f>
        <v>1965.4092525246112</v>
      </c>
      <c r="X17" s="2">
        <f>-(0.002*Calculate[[#This Row],[Freq]]/1000000/2.5+0.68*(Calculate[[#This Row],[Freq]]/1000000/2.5)^0.45)</f>
        <v>-9.2703182295464384</v>
      </c>
    </row>
    <row r="18" spans="1:24" x14ac:dyDescent="0.25">
      <c r="A18" s="34">
        <f t="shared" si="4"/>
        <v>765000000</v>
      </c>
      <c r="B18" s="1">
        <f>Calculate[[#This Row],[Freq]]-A17</f>
        <v>45000000</v>
      </c>
      <c r="C18">
        <f>Channels!B18*cable_length</f>
        <v>-7.2202745753939679</v>
      </c>
      <c r="D18" s="2">
        <f>Masks!A18</f>
        <v>-98.470325397914564</v>
      </c>
      <c r="E18" s="2">
        <f>Masks!B18</f>
        <v>-98.470325397914564</v>
      </c>
      <c r="F18" s="2">
        <f>Calculate[[#This Row],[Tx_PSD_us]]+Calculate[[#This Row],[IL]]</f>
        <v>-105.69059997330854</v>
      </c>
      <c r="G18" s="2">
        <f>Calculate[[#This Row],[Tx_PSD_ds]]+Calculate[[#This Row],[IL]]</f>
        <v>-105.69059997330854</v>
      </c>
      <c r="H18" s="2">
        <f>Masks[[#This Row],[channel_echo]]</f>
        <v>-17.952019618091455</v>
      </c>
      <c r="I18" s="2">
        <f>Masks[[#This Row],[channel_echo]]</f>
        <v>-17.952019618091455</v>
      </c>
      <c r="J18" s="2">
        <f>Calculate[[#This Row],[Echo_transfer_us]]+Calculate[[#This Row],[Tx_PSD_ds]]</f>
        <v>-116.42234501600602</v>
      </c>
      <c r="K18" s="2">
        <f>Calculate[[#This Row],[Echo_transfer_ds]]+Calculate[[#This Row],[Tx_PSD_us]]</f>
        <v>-116.42234501600602</v>
      </c>
      <c r="L18" s="2">
        <f t="shared" si="0"/>
        <v>-140</v>
      </c>
      <c r="M18" s="2">
        <f t="shared" si="1"/>
        <v>-140</v>
      </c>
      <c r="N18" s="2">
        <f t="shared" si="2"/>
        <v>5</v>
      </c>
      <c r="O18" s="2">
        <f t="shared" si="3"/>
        <v>5</v>
      </c>
      <c r="P18" s="2">
        <f>10*LOG10((10^(Calculate[[#This Row],[Rx_echo_us]]/10))-(10^((Masks[[#This Row],[connector_echo]]+Calculate[[#This Row],[Tx_PSD_ds]])/10))*EC_conector_ratio_us)-Calculate[[#This Row],[EC_cancelation_us]]</f>
        <v>-143.47032539791522</v>
      </c>
      <c r="Q18" s="2">
        <f>10*LOG10((10^(Calculate[[#This Row],[Rx_echo_ds]]/10))-(10^((Masks[[#This Row],[connector_echo]]+Calculate[[#This Row],[Tx_PSD_us]])/10))*EC_conector_ratio_ds)-Calculate[[#This Row],[EC_cancelation_ds]]</f>
        <v>-143.47032539791522</v>
      </c>
      <c r="R18" s="2">
        <f>10*LOG10(POWER(10,Calculate[[#This Row],[AFE_noise_us]]/10)+POWER(10,Calculate[[#This Row],[Echo_res_us]]/10))</f>
        <v>-138.3870803407568</v>
      </c>
      <c r="S18" s="2">
        <f>10*LOG10(POWER(10,Calculate[[#This Row],[AFE_noise_ds]]/10)+POWER(10,Calculate[[#This Row],[Echo_res_ds]]/10))</f>
        <v>-138.3870803407568</v>
      </c>
      <c r="T18" s="2">
        <f>Calculate[[#This Row],[Rx_PSD_us]]-Calculate[[#This Row],[Noise_us]]</f>
        <v>32.69648036744826</v>
      </c>
      <c r="U18" s="2">
        <f>Calculate[[#This Row],[Rx_PSD_ds]]-Calculate[[#This Row],[Noise_ds]]</f>
        <v>32.69648036744826</v>
      </c>
      <c r="V18" s="2">
        <f>POWER(10,Calculate[[#This Row],[SNRdB_us]]/10)</f>
        <v>1860.5786653876182</v>
      </c>
      <c r="W18" s="2">
        <f>POWER(10,Calculate[[#This Row],[SNRdB_ds]]/10)</f>
        <v>1860.5786653876182</v>
      </c>
      <c r="X18" s="2">
        <f>-(0.002*Calculate[[#This Row],[Freq]]/1000000/2.5+0.68*(Calculate[[#This Row],[Freq]]/1000000/2.5)^0.45)</f>
        <v>-9.5467736476443381</v>
      </c>
    </row>
    <row r="19" spans="1:24" x14ac:dyDescent="0.25">
      <c r="A19" s="34">
        <f t="shared" si="4"/>
        <v>810000000</v>
      </c>
      <c r="B19" s="1">
        <f>Calculate[[#This Row],[Freq]]-A18</f>
        <v>45000000</v>
      </c>
      <c r="C19">
        <f>Channels!B19*cable_length</f>
        <v>-7.4527432785027692</v>
      </c>
      <c r="D19" s="2">
        <f>Masks!A19</f>
        <v>-98.470325397914564</v>
      </c>
      <c r="E19" s="2">
        <f>Masks!B19</f>
        <v>-98.470325397914564</v>
      </c>
      <c r="F19" s="2">
        <f>Calculate[[#This Row],[Tx_PSD_us]]+Calculate[[#This Row],[IL]]</f>
        <v>-105.92306867641733</v>
      </c>
      <c r="G19" s="2">
        <f>Calculate[[#This Row],[Tx_PSD_ds]]+Calculate[[#This Row],[IL]]</f>
        <v>-105.92306867641733</v>
      </c>
      <c r="H19" s="2">
        <f>Masks[[#This Row],[channel_echo]]</f>
        <v>-17.749493038619516</v>
      </c>
      <c r="I19" s="2">
        <f>Masks[[#This Row],[channel_echo]]</f>
        <v>-17.749493038619516</v>
      </c>
      <c r="J19" s="2">
        <f>Calculate[[#This Row],[Echo_transfer_us]]+Calculate[[#This Row],[Tx_PSD_ds]]</f>
        <v>-116.21981843653408</v>
      </c>
      <c r="K19" s="2">
        <f>Calculate[[#This Row],[Echo_transfer_ds]]+Calculate[[#This Row],[Tx_PSD_us]]</f>
        <v>-116.21981843653408</v>
      </c>
      <c r="L19" s="2">
        <f t="shared" si="0"/>
        <v>-140</v>
      </c>
      <c r="M19" s="2">
        <f t="shared" si="1"/>
        <v>-140</v>
      </c>
      <c r="N19" s="2">
        <f t="shared" si="2"/>
        <v>5</v>
      </c>
      <c r="O19" s="2">
        <f t="shared" si="3"/>
        <v>5</v>
      </c>
      <c r="P19" s="2">
        <f>10*LOG10((10^(Calculate[[#This Row],[Rx_echo_us]]/10))-(10^((Masks[[#This Row],[connector_echo]]+Calculate[[#This Row],[Tx_PSD_ds]])/10))*EC_conector_ratio_us)-Calculate[[#This Row],[EC_cancelation_us]]</f>
        <v>-143.47032539791843</v>
      </c>
      <c r="Q19" s="2">
        <f>10*LOG10((10^(Calculate[[#This Row],[Rx_echo_ds]]/10))-(10^((Masks[[#This Row],[connector_echo]]+Calculate[[#This Row],[Tx_PSD_us]])/10))*EC_conector_ratio_ds)-Calculate[[#This Row],[EC_cancelation_ds]]</f>
        <v>-143.47032539791843</v>
      </c>
      <c r="R19" s="2">
        <f>10*LOG10(POWER(10,Calculate[[#This Row],[AFE_noise_us]]/10)+POWER(10,Calculate[[#This Row],[Echo_res_us]]/10))</f>
        <v>-138.38708034075779</v>
      </c>
      <c r="S19" s="2">
        <f>10*LOG10(POWER(10,Calculate[[#This Row],[AFE_noise_ds]]/10)+POWER(10,Calculate[[#This Row],[Echo_res_ds]]/10))</f>
        <v>-138.38708034075779</v>
      </c>
      <c r="T19" s="2">
        <f>Calculate[[#This Row],[Rx_PSD_us]]-Calculate[[#This Row],[Noise_us]]</f>
        <v>32.464011664340461</v>
      </c>
      <c r="U19" s="2">
        <f>Calculate[[#This Row],[Rx_PSD_ds]]-Calculate[[#This Row],[Noise_ds]]</f>
        <v>32.464011664340461</v>
      </c>
      <c r="V19" s="2">
        <f>POWER(10,Calculate[[#This Row],[SNRdB_us]]/10)</f>
        <v>1763.604370604321</v>
      </c>
      <c r="W19" s="2">
        <f>POWER(10,Calculate[[#This Row],[SNRdB_ds]]/10)</f>
        <v>1763.604370604321</v>
      </c>
      <c r="X19" s="2">
        <f>-(0.002*Calculate[[#This Row],[Freq]]/1000000/2.5+0.68*(Calculate[[#This Row],[Freq]]/1000000/2.5)^0.45)</f>
        <v>-9.8155685761929412</v>
      </c>
    </row>
    <row r="20" spans="1:24" x14ac:dyDescent="0.25">
      <c r="A20" s="34">
        <f t="shared" si="4"/>
        <v>855000000</v>
      </c>
      <c r="B20" s="1">
        <f>Calculate[[#This Row],[Freq]]-A19</f>
        <v>45000000</v>
      </c>
      <c r="C20">
        <f>Channels!B20*cable_length</f>
        <v>-7.6800902433629776</v>
      </c>
      <c r="D20" s="2">
        <f>Masks!A20</f>
        <v>-98.470325397914564</v>
      </c>
      <c r="E20" s="2">
        <f>Masks!B20</f>
        <v>-98.470325397914564</v>
      </c>
      <c r="F20" s="2">
        <f>Calculate[[#This Row],[Tx_PSD_us]]+Calculate[[#This Row],[IL]]</f>
        <v>-106.15041564127755</v>
      </c>
      <c r="G20" s="2">
        <f>Calculate[[#This Row],[Tx_PSD_ds]]+Calculate[[#This Row],[IL]]</f>
        <v>-106.15041564127755</v>
      </c>
      <c r="H20" s="2">
        <f>Masks[[#This Row],[channel_echo]]</f>
        <v>-17.555991661986305</v>
      </c>
      <c r="I20" s="2">
        <f>Masks[[#This Row],[channel_echo]]</f>
        <v>-17.555991661986305</v>
      </c>
      <c r="J20" s="2">
        <f>Calculate[[#This Row],[Echo_transfer_us]]+Calculate[[#This Row],[Tx_PSD_ds]]</f>
        <v>-116.02631705990086</v>
      </c>
      <c r="K20" s="2">
        <f>Calculate[[#This Row],[Echo_transfer_ds]]+Calculate[[#This Row],[Tx_PSD_us]]</f>
        <v>-116.02631705990086</v>
      </c>
      <c r="L20" s="2">
        <f t="shared" si="0"/>
        <v>-140</v>
      </c>
      <c r="M20" s="2">
        <f t="shared" si="1"/>
        <v>-140</v>
      </c>
      <c r="N20" s="2">
        <f t="shared" si="2"/>
        <v>5</v>
      </c>
      <c r="O20" s="2">
        <f t="shared" si="3"/>
        <v>5</v>
      </c>
      <c r="P20" s="2">
        <f>10*LOG10((10^(Calculate[[#This Row],[Rx_echo_us]]/10))-(10^((Masks[[#This Row],[connector_echo]]+Calculate[[#This Row],[Tx_PSD_ds]])/10))*EC_conector_ratio_us)-Calculate[[#This Row],[EC_cancelation_us]]</f>
        <v>-143.47032539791496</v>
      </c>
      <c r="Q20" s="2">
        <f>10*LOG10((10^(Calculate[[#This Row],[Rx_echo_ds]]/10))-(10^((Masks[[#This Row],[connector_echo]]+Calculate[[#This Row],[Tx_PSD_us]])/10))*EC_conector_ratio_ds)-Calculate[[#This Row],[EC_cancelation_ds]]</f>
        <v>-143.47032539791496</v>
      </c>
      <c r="R20" s="2">
        <f>10*LOG10(POWER(10,Calculate[[#This Row],[AFE_noise_us]]/10)+POWER(10,Calculate[[#This Row],[Echo_res_us]]/10))</f>
        <v>-138.38708034075671</v>
      </c>
      <c r="S20" s="2">
        <f>10*LOG10(POWER(10,Calculate[[#This Row],[AFE_noise_ds]]/10)+POWER(10,Calculate[[#This Row],[Echo_res_ds]]/10))</f>
        <v>-138.38708034075671</v>
      </c>
      <c r="T20" s="2">
        <f>Calculate[[#This Row],[Rx_PSD_us]]-Calculate[[#This Row],[Noise_us]]</f>
        <v>32.236664699479164</v>
      </c>
      <c r="U20" s="2">
        <f>Calculate[[#This Row],[Rx_PSD_ds]]-Calculate[[#This Row],[Noise_ds]]</f>
        <v>32.236664699479164</v>
      </c>
      <c r="V20" s="2">
        <f>POWER(10,Calculate[[#This Row],[SNRdB_us]]/10)</f>
        <v>1673.6570449858559</v>
      </c>
      <c r="W20" s="2">
        <f>POWER(10,Calculate[[#This Row],[SNRdB_ds]]/10)</f>
        <v>1673.6570449858559</v>
      </c>
      <c r="X20" s="2">
        <f>-(0.002*Calculate[[#This Row],[Freq]]/1000000/2.5+0.68*(Calculate[[#This Row],[Freq]]/1000000/2.5)^0.45)</f>
        <v>-10.077353369933649</v>
      </c>
    </row>
    <row r="21" spans="1:24" x14ac:dyDescent="0.25">
      <c r="A21" s="34">
        <f t="shared" si="4"/>
        <v>900000000</v>
      </c>
      <c r="B21" s="1">
        <f>Calculate[[#This Row],[Freq]]-A20</f>
        <v>45000000</v>
      </c>
      <c r="C21">
        <f>Channels!B21*cable_length</f>
        <v>-7.9027149176066178</v>
      </c>
      <c r="D21" s="2">
        <f>Masks!A21</f>
        <v>-98.470325397914564</v>
      </c>
      <c r="E21" s="2">
        <f>Masks!B21</f>
        <v>-98.470325397914564</v>
      </c>
      <c r="F21" s="2">
        <f>Calculate[[#This Row],[Tx_PSD_us]]+Calculate[[#This Row],[IL]]</f>
        <v>-106.37304031552118</v>
      </c>
      <c r="G21" s="2">
        <f>Calculate[[#This Row],[Tx_PSD_ds]]+Calculate[[#This Row],[IL]]</f>
        <v>-106.37304031552118</v>
      </c>
      <c r="H21" s="2">
        <f>Masks[[#This Row],[channel_echo]]</f>
        <v>-17.370745306681684</v>
      </c>
      <c r="I21" s="2">
        <f>Masks[[#This Row],[channel_echo]]</f>
        <v>-17.370745306681684</v>
      </c>
      <c r="J21" s="2">
        <f>Calculate[[#This Row],[Echo_transfer_us]]+Calculate[[#This Row],[Tx_PSD_ds]]</f>
        <v>-115.84107070459625</v>
      </c>
      <c r="K21" s="2">
        <f>Calculate[[#This Row],[Echo_transfer_ds]]+Calculate[[#This Row],[Tx_PSD_us]]</f>
        <v>-115.84107070459625</v>
      </c>
      <c r="L21" s="2">
        <f t="shared" si="0"/>
        <v>-140</v>
      </c>
      <c r="M21" s="2">
        <f t="shared" si="1"/>
        <v>-140</v>
      </c>
      <c r="N21" s="2">
        <f t="shared" si="2"/>
        <v>5</v>
      </c>
      <c r="O21" s="2">
        <f t="shared" si="3"/>
        <v>5</v>
      </c>
      <c r="P21" s="2">
        <f>10*LOG10((10^(Calculate[[#This Row],[Rx_echo_us]]/10))-(10^((Masks[[#This Row],[connector_echo]]+Calculate[[#This Row],[Tx_PSD_ds]])/10))*EC_conector_ratio_us)-Calculate[[#This Row],[EC_cancelation_us]]</f>
        <v>-143.47032539791621</v>
      </c>
      <c r="Q21" s="2">
        <f>10*LOG10((10^(Calculate[[#This Row],[Rx_echo_ds]]/10))-(10^((Masks[[#This Row],[connector_echo]]+Calculate[[#This Row],[Tx_PSD_us]])/10))*EC_conector_ratio_ds)-Calculate[[#This Row],[EC_cancelation_ds]]</f>
        <v>-143.47032539791621</v>
      </c>
      <c r="R21" s="2">
        <f>10*LOG10(POWER(10,Calculate[[#This Row],[AFE_noise_us]]/10)+POWER(10,Calculate[[#This Row],[Echo_res_us]]/10))</f>
        <v>-138.38708034075711</v>
      </c>
      <c r="S21" s="2">
        <f>10*LOG10(POWER(10,Calculate[[#This Row],[AFE_noise_ds]]/10)+POWER(10,Calculate[[#This Row],[Echo_res_ds]]/10))</f>
        <v>-138.38708034075711</v>
      </c>
      <c r="T21" s="2">
        <f>Calculate[[#This Row],[Rx_PSD_us]]-Calculate[[#This Row],[Noise_us]]</f>
        <v>32.014040025235929</v>
      </c>
      <c r="U21" s="2">
        <f>Calculate[[#This Row],[Rx_PSD_ds]]-Calculate[[#This Row],[Noise_ds]]</f>
        <v>32.014040025235929</v>
      </c>
      <c r="V21" s="2">
        <f>POWER(10,Calculate[[#This Row],[SNRdB_us]]/10)</f>
        <v>1590.0251820597648</v>
      </c>
      <c r="W21" s="2">
        <f>POWER(10,Calculate[[#This Row],[SNRdB_ds]]/10)</f>
        <v>1590.0251820597648</v>
      </c>
      <c r="X21" s="2">
        <f>-(0.002*Calculate[[#This Row],[Freq]]/1000000/2.5+0.68*(Calculate[[#This Row],[Freq]]/1000000/2.5)^0.45)</f>
        <v>-10.33269223758829</v>
      </c>
    </row>
    <row r="22" spans="1:24" x14ac:dyDescent="0.25">
      <c r="A22" s="34">
        <f t="shared" si="4"/>
        <v>945000000</v>
      </c>
      <c r="B22" s="1">
        <f>Calculate[[#This Row],[Freq]]-A21</f>
        <v>45000000</v>
      </c>
      <c r="C22">
        <f>Channels!B22*cable_length</f>
        <v>-8.1209673780334501</v>
      </c>
      <c r="D22" s="2">
        <f>Masks!A22</f>
        <v>-98.470325397914564</v>
      </c>
      <c r="E22" s="2">
        <f>Masks!B22</f>
        <v>-98.470325397914564</v>
      </c>
      <c r="F22" s="2">
        <f>Calculate[[#This Row],[Tx_PSD_us]]+Calculate[[#This Row],[IL]]</f>
        <v>-106.59129277594802</v>
      </c>
      <c r="G22" s="2">
        <f>Calculate[[#This Row],[Tx_PSD_ds]]+Calculate[[#This Row],[IL]]</f>
        <v>-106.59129277594802</v>
      </c>
      <c r="H22" s="2">
        <f>Masks[[#This Row],[channel_echo]]</f>
        <v>-17.193078357148828</v>
      </c>
      <c r="I22" s="2">
        <f>Masks[[#This Row],[channel_echo]]</f>
        <v>-17.193078357148828</v>
      </c>
      <c r="J22" s="2">
        <f>Calculate[[#This Row],[Echo_transfer_us]]+Calculate[[#This Row],[Tx_PSD_ds]]</f>
        <v>-115.6634037550634</v>
      </c>
      <c r="K22" s="2">
        <f>Calculate[[#This Row],[Echo_transfer_ds]]+Calculate[[#This Row],[Tx_PSD_us]]</f>
        <v>-115.6634037550634</v>
      </c>
      <c r="L22" s="2">
        <f t="shared" si="0"/>
        <v>-140</v>
      </c>
      <c r="M22" s="2">
        <f t="shared" si="1"/>
        <v>-140</v>
      </c>
      <c r="N22" s="2">
        <f t="shared" si="2"/>
        <v>5</v>
      </c>
      <c r="O22" s="2">
        <f t="shared" si="3"/>
        <v>5</v>
      </c>
      <c r="P22" s="2">
        <f>10*LOG10((10^(Calculate[[#This Row],[Rx_echo_us]]/10))-(10^((Masks[[#This Row],[connector_echo]]+Calculate[[#This Row],[Tx_PSD_ds]])/10))*EC_conector_ratio_us)-Calculate[[#This Row],[EC_cancelation_us]]</f>
        <v>-143.47032539791633</v>
      </c>
      <c r="Q22" s="2">
        <f>10*LOG10((10^(Calculate[[#This Row],[Rx_echo_ds]]/10))-(10^((Masks[[#This Row],[connector_echo]]+Calculate[[#This Row],[Tx_PSD_us]])/10))*EC_conector_ratio_ds)-Calculate[[#This Row],[EC_cancelation_ds]]</f>
        <v>-143.47032539791633</v>
      </c>
      <c r="R22" s="2">
        <f>10*LOG10(POWER(10,Calculate[[#This Row],[AFE_noise_us]]/10)+POWER(10,Calculate[[#This Row],[Echo_res_us]]/10))</f>
        <v>-138.38708034075714</v>
      </c>
      <c r="S22" s="2">
        <f>10*LOG10(POWER(10,Calculate[[#This Row],[AFE_noise_ds]]/10)+POWER(10,Calculate[[#This Row],[Echo_res_ds]]/10))</f>
        <v>-138.38708034075714</v>
      </c>
      <c r="T22" s="2">
        <f>Calculate[[#This Row],[Rx_PSD_us]]-Calculate[[#This Row],[Noise_us]]</f>
        <v>31.795787564809117</v>
      </c>
      <c r="U22" s="2">
        <f>Calculate[[#This Row],[Rx_PSD_ds]]-Calculate[[#This Row],[Noise_ds]]</f>
        <v>31.795787564809117</v>
      </c>
      <c r="V22" s="2">
        <f>POWER(10,Calculate[[#This Row],[SNRdB_us]]/10)</f>
        <v>1512.0938828947922</v>
      </c>
      <c r="W22" s="2">
        <f>POWER(10,Calculate[[#This Row],[SNRdB_ds]]/10)</f>
        <v>1512.0938828947922</v>
      </c>
      <c r="X22" s="2">
        <f>-(0.002*Calculate[[#This Row],[Freq]]/1000000/2.5+0.68*(Calculate[[#This Row],[Freq]]/1000000/2.5)^0.45)</f>
        <v>-10.582078347632242</v>
      </c>
    </row>
    <row r="23" spans="1:24" x14ac:dyDescent="0.25">
      <c r="A23" s="34">
        <f t="shared" si="4"/>
        <v>990000000</v>
      </c>
      <c r="B23" s="1">
        <f>Calculate[[#This Row],[Freq]]-A22</f>
        <v>45000000</v>
      </c>
      <c r="C23">
        <f>Channels!B23*cable_length</f>
        <v>-8.3351564733807191</v>
      </c>
      <c r="D23" s="2">
        <f>Masks!A23</f>
        <v>-98.470325397914564</v>
      </c>
      <c r="E23" s="2">
        <f>Masks!B23</f>
        <v>-98.470325397914564</v>
      </c>
      <c r="F23" s="2">
        <f>Calculate[[#This Row],[Tx_PSD_us]]+Calculate[[#This Row],[IL]]</f>
        <v>-106.80548187129529</v>
      </c>
      <c r="G23" s="2">
        <f>Calculate[[#This Row],[Tx_PSD_ds]]+Calculate[[#This Row],[IL]]</f>
        <v>-106.80548187129529</v>
      </c>
      <c r="H23" s="2">
        <f>Masks[[#This Row],[channel_echo]]</f>
        <v>-17.022394889008666</v>
      </c>
      <c r="I23" s="2">
        <f>Masks[[#This Row],[channel_echo]]</f>
        <v>-17.022394889008666</v>
      </c>
      <c r="J23" s="2">
        <f>Calculate[[#This Row],[Echo_transfer_us]]+Calculate[[#This Row],[Tx_PSD_ds]]</f>
        <v>-115.49272028692323</v>
      </c>
      <c r="K23" s="2">
        <f>Calculate[[#This Row],[Echo_transfer_ds]]+Calculate[[#This Row],[Tx_PSD_us]]</f>
        <v>-115.49272028692323</v>
      </c>
      <c r="L23" s="2">
        <f t="shared" si="0"/>
        <v>-140</v>
      </c>
      <c r="M23" s="2">
        <f t="shared" si="1"/>
        <v>-140</v>
      </c>
      <c r="N23" s="2">
        <f t="shared" si="2"/>
        <v>5</v>
      </c>
      <c r="O23" s="2">
        <f t="shared" si="3"/>
        <v>5</v>
      </c>
      <c r="P23" s="2">
        <f>10*LOG10((10^(Calculate[[#This Row],[Rx_echo_us]]/10))-(10^((Masks[[#This Row],[connector_echo]]+Calculate[[#This Row],[Tx_PSD_ds]])/10))*EC_conector_ratio_us)-Calculate[[#This Row],[EC_cancelation_us]]</f>
        <v>-143.4703253979188</v>
      </c>
      <c r="Q23" s="2">
        <f>10*LOG10((10^(Calculate[[#This Row],[Rx_echo_ds]]/10))-(10^((Masks[[#This Row],[connector_echo]]+Calculate[[#This Row],[Tx_PSD_us]])/10))*EC_conector_ratio_ds)-Calculate[[#This Row],[EC_cancelation_ds]]</f>
        <v>-143.4703253979188</v>
      </c>
      <c r="R23" s="2">
        <f>10*LOG10(POWER(10,Calculate[[#This Row],[AFE_noise_us]]/10)+POWER(10,Calculate[[#This Row],[Echo_res_us]]/10))</f>
        <v>-138.3870803407579</v>
      </c>
      <c r="S23" s="2">
        <f>10*LOG10(POWER(10,Calculate[[#This Row],[AFE_noise_ds]]/10)+POWER(10,Calculate[[#This Row],[Echo_res_ds]]/10))</f>
        <v>-138.3870803407579</v>
      </c>
      <c r="T23" s="2">
        <f>Calculate[[#This Row],[Rx_PSD_us]]-Calculate[[#This Row],[Noise_us]]</f>
        <v>31.58159846946262</v>
      </c>
      <c r="U23" s="2">
        <f>Calculate[[#This Row],[Rx_PSD_ds]]-Calculate[[#This Row],[Noise_ds]]</f>
        <v>31.58159846946262</v>
      </c>
      <c r="V23" s="2">
        <f>POWER(10,Calculate[[#This Row],[SNRdB_us]]/10)</f>
        <v>1439.3282416491118</v>
      </c>
      <c r="W23" s="2">
        <f>POWER(10,Calculate[[#This Row],[SNRdB_ds]]/10)</f>
        <v>1439.3282416491118</v>
      </c>
      <c r="X23" s="2">
        <f>-(0.002*Calculate[[#This Row],[Freq]]/1000000/2.5+0.68*(Calculate[[#This Row],[Freq]]/1000000/2.5)^0.45)</f>
        <v>-10.825945698050115</v>
      </c>
    </row>
    <row r="24" spans="1:24" x14ac:dyDescent="0.25">
      <c r="A24" s="34">
        <f t="shared" si="4"/>
        <v>1035000000</v>
      </c>
      <c r="B24" s="1">
        <f>Calculate[[#This Row],[Freq]]-A23</f>
        <v>45000000</v>
      </c>
      <c r="C24">
        <f>Channels!B24*cable_length</f>
        <v>-8.54555631767664</v>
      </c>
      <c r="D24" s="2">
        <f>Masks!A24</f>
        <v>-98.470325397914564</v>
      </c>
      <c r="E24" s="2">
        <f>Masks!B24</f>
        <v>-98.470325397914564</v>
      </c>
      <c r="F24" s="2">
        <f>Calculate[[#This Row],[Tx_PSD_us]]+Calculate[[#This Row],[IL]]</f>
        <v>-107.01588171559121</v>
      </c>
      <c r="G24" s="2">
        <f>Calculate[[#This Row],[Tx_PSD_ds]]+Calculate[[#This Row],[IL]]</f>
        <v>-107.01588171559121</v>
      </c>
      <c r="H24" s="2">
        <f>Masks[[#This Row],[channel_echo]]</f>
        <v>-16.858166608626227</v>
      </c>
      <c r="I24" s="2">
        <f>Masks[[#This Row],[channel_echo]]</f>
        <v>-16.858166608626227</v>
      </c>
      <c r="J24" s="2">
        <f>Calculate[[#This Row],[Echo_transfer_us]]+Calculate[[#This Row],[Tx_PSD_ds]]</f>
        <v>-115.32849200654078</v>
      </c>
      <c r="K24" s="2">
        <f>Calculate[[#This Row],[Echo_transfer_ds]]+Calculate[[#This Row],[Tx_PSD_us]]</f>
        <v>-115.32849200654078</v>
      </c>
      <c r="L24" s="2">
        <f t="shared" si="0"/>
        <v>-140</v>
      </c>
      <c r="M24" s="2">
        <f t="shared" si="1"/>
        <v>-140</v>
      </c>
      <c r="N24" s="2">
        <f t="shared" si="2"/>
        <v>5</v>
      </c>
      <c r="O24" s="2">
        <f t="shared" si="3"/>
        <v>5</v>
      </c>
      <c r="P24" s="2">
        <f>10*LOG10((10^(Calculate[[#This Row],[Rx_echo_us]]/10))-(10^((Masks[[#This Row],[connector_echo]]+Calculate[[#This Row],[Tx_PSD_ds]])/10))*EC_conector_ratio_us)-Calculate[[#This Row],[EC_cancelation_us]]</f>
        <v>-143.47032539791337</v>
      </c>
      <c r="Q24" s="2">
        <f>10*LOG10((10^(Calculate[[#This Row],[Rx_echo_ds]]/10))-(10^((Masks[[#This Row],[connector_echo]]+Calculate[[#This Row],[Tx_PSD_us]])/10))*EC_conector_ratio_ds)-Calculate[[#This Row],[EC_cancelation_ds]]</f>
        <v>-143.47032539791337</v>
      </c>
      <c r="R24" s="2">
        <f>10*LOG10(POWER(10,Calculate[[#This Row],[AFE_noise_us]]/10)+POWER(10,Calculate[[#This Row],[Echo_res_us]]/10))</f>
        <v>-138.3870803407562</v>
      </c>
      <c r="S24" s="2">
        <f>10*LOG10(POWER(10,Calculate[[#This Row],[AFE_noise_ds]]/10)+POWER(10,Calculate[[#This Row],[Echo_res_ds]]/10))</f>
        <v>-138.3870803407562</v>
      </c>
      <c r="T24" s="2">
        <f>Calculate[[#This Row],[Rx_PSD_us]]-Calculate[[#This Row],[Noise_us]]</f>
        <v>31.371198625164993</v>
      </c>
      <c r="U24" s="2">
        <f>Calculate[[#This Row],[Rx_PSD_ds]]-Calculate[[#This Row],[Noise_ds]]</f>
        <v>31.371198625164993</v>
      </c>
      <c r="V24" s="2">
        <f>POWER(10,Calculate[[#This Row],[SNRdB_us]]/10)</f>
        <v>1371.2601730351239</v>
      </c>
      <c r="W24" s="2">
        <f>POWER(10,Calculate[[#This Row],[SNRdB_ds]]/10)</f>
        <v>1371.2601730351239</v>
      </c>
      <c r="X24" s="2">
        <f>-(0.002*Calculate[[#This Row],[Freq]]/1000000/2.5+0.68*(Calculate[[#This Row],[Freq]]/1000000/2.5)^0.45)</f>
        <v>-11.064678557839294</v>
      </c>
    </row>
    <row r="25" spans="1:24" x14ac:dyDescent="0.25">
      <c r="A25" s="34">
        <f t="shared" si="4"/>
        <v>1080000000</v>
      </c>
      <c r="B25" s="1">
        <f>Calculate[[#This Row],[Freq]]-A24</f>
        <v>45000000</v>
      </c>
      <c r="C25">
        <f>Channels!B25*cable_length</f>
        <v>-8.7524115250336969</v>
      </c>
      <c r="D25" s="2">
        <f>Masks!A25</f>
        <v>-98.470325397914564</v>
      </c>
      <c r="E25" s="2">
        <f>Masks!B25</f>
        <v>-98.470325397914564</v>
      </c>
      <c r="F25" s="2">
        <f>Calculate[[#This Row],[Tx_PSD_us]]+Calculate[[#This Row],[IL]]</f>
        <v>-107.22273692294826</v>
      </c>
      <c r="G25" s="2">
        <f>Calculate[[#This Row],[Tx_PSD_ds]]+Calculate[[#This Row],[IL]]</f>
        <v>-107.22273692294826</v>
      </c>
      <c r="H25" s="2">
        <f>Masks[[#This Row],[channel_echo]]</f>
        <v>-16.699922991272413</v>
      </c>
      <c r="I25" s="2">
        <f>Masks[[#This Row],[channel_echo]]</f>
        <v>-16.699922991272413</v>
      </c>
      <c r="J25" s="2">
        <f>Calculate[[#This Row],[Echo_transfer_us]]+Calculate[[#This Row],[Tx_PSD_ds]]</f>
        <v>-115.17024838918698</v>
      </c>
      <c r="K25" s="2">
        <f>Calculate[[#This Row],[Echo_transfer_ds]]+Calculate[[#This Row],[Tx_PSD_us]]</f>
        <v>-115.17024838918698</v>
      </c>
      <c r="L25" s="2">
        <f t="shared" si="0"/>
        <v>-140</v>
      </c>
      <c r="M25" s="2">
        <f t="shared" si="1"/>
        <v>-140</v>
      </c>
      <c r="N25" s="2">
        <f t="shared" si="2"/>
        <v>5</v>
      </c>
      <c r="O25" s="2">
        <f t="shared" si="3"/>
        <v>5</v>
      </c>
      <c r="P25" s="2">
        <f>10*LOG10((10^(Calculate[[#This Row],[Rx_echo_us]]/10))-(10^((Masks[[#This Row],[connector_echo]]+Calculate[[#This Row],[Tx_PSD_ds]])/10))*EC_conector_ratio_us)-Calculate[[#This Row],[EC_cancelation_us]]</f>
        <v>-143.47032539791337</v>
      </c>
      <c r="Q25" s="2">
        <f>10*LOG10((10^(Calculate[[#This Row],[Rx_echo_ds]]/10))-(10^((Masks[[#This Row],[connector_echo]]+Calculate[[#This Row],[Tx_PSD_us]])/10))*EC_conector_ratio_ds)-Calculate[[#This Row],[EC_cancelation_ds]]</f>
        <v>-143.47032539791337</v>
      </c>
      <c r="R25" s="2">
        <f>10*LOG10(POWER(10,Calculate[[#This Row],[AFE_noise_us]]/10)+POWER(10,Calculate[[#This Row],[Echo_res_us]]/10))</f>
        <v>-138.3870803407562</v>
      </c>
      <c r="S25" s="2">
        <f>10*LOG10(POWER(10,Calculate[[#This Row],[AFE_noise_ds]]/10)+POWER(10,Calculate[[#This Row],[Echo_res_ds]]/10))</f>
        <v>-138.3870803407562</v>
      </c>
      <c r="T25" s="2">
        <f>Calculate[[#This Row],[Rx_PSD_us]]-Calculate[[#This Row],[Noise_us]]</f>
        <v>31.164343417807942</v>
      </c>
      <c r="U25" s="2">
        <f>Calculate[[#This Row],[Rx_PSD_ds]]-Calculate[[#This Row],[Noise_ds]]</f>
        <v>31.164343417807942</v>
      </c>
      <c r="V25" s="2">
        <f>POWER(10,Calculate[[#This Row],[SNRdB_us]]/10)</f>
        <v>1307.4778547202086</v>
      </c>
      <c r="W25" s="2">
        <f>POWER(10,Calculate[[#This Row],[SNRdB_ds]]/10)</f>
        <v>1307.4778547202086</v>
      </c>
      <c r="X25" s="2">
        <f>-(0.002*Calculate[[#This Row],[Freq]]/1000000/2.5+0.68*(Calculate[[#This Row],[Freq]]/1000000/2.5)^0.45)</f>
        <v>-11.298619060255852</v>
      </c>
    </row>
    <row r="26" spans="1:24" x14ac:dyDescent="0.25">
      <c r="A26" s="34">
        <f t="shared" si="4"/>
        <v>1125000000</v>
      </c>
      <c r="B26" s="1">
        <f>Calculate[[#This Row],[Freq]]-A25</f>
        <v>45000000</v>
      </c>
      <c r="C26">
        <f>Channels!B26*cable_length</f>
        <v>-8.9559414717772192</v>
      </c>
      <c r="D26" s="2">
        <f>Masks!A26</f>
        <v>-98.470325397914564</v>
      </c>
      <c r="E26" s="2">
        <f>Masks!B26</f>
        <v>-98.470325397914564</v>
      </c>
      <c r="F26" s="2">
        <f>Calculate[[#This Row],[Tx_PSD_us]]+Calculate[[#This Row],[IL]]</f>
        <v>-107.42626686969179</v>
      </c>
      <c r="G26" s="2">
        <f>Calculate[[#This Row],[Tx_PSD_ds]]+Calculate[[#This Row],[IL]]</f>
        <v>-107.42626686969179</v>
      </c>
      <c r="H26" s="2">
        <f>Masks[[#This Row],[channel_echo]]</f>
        <v>-16.547243153792227</v>
      </c>
      <c r="I26" s="2">
        <f>Masks[[#This Row],[channel_echo]]</f>
        <v>-16.547243153792227</v>
      </c>
      <c r="J26" s="2">
        <f>Calculate[[#This Row],[Echo_transfer_us]]+Calculate[[#This Row],[Tx_PSD_ds]]</f>
        <v>-115.01756855170679</v>
      </c>
      <c r="K26" s="2">
        <f>Calculate[[#This Row],[Echo_transfer_ds]]+Calculate[[#This Row],[Tx_PSD_us]]</f>
        <v>-115.01756855170679</v>
      </c>
      <c r="L26" s="2">
        <f t="shared" si="0"/>
        <v>-140</v>
      </c>
      <c r="M26" s="2">
        <f t="shared" si="1"/>
        <v>-140</v>
      </c>
      <c r="N26" s="2">
        <f t="shared" si="2"/>
        <v>5</v>
      </c>
      <c r="O26" s="2">
        <f t="shared" si="3"/>
        <v>5</v>
      </c>
      <c r="P26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26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26" s="2">
        <f>10*LOG10(POWER(10,Calculate[[#This Row],[AFE_noise_us]]/10)+POWER(10,Calculate[[#This Row],[Echo_res_us]]/10))</f>
        <v>-138.38708034075668</v>
      </c>
      <c r="S26" s="2">
        <f>10*LOG10(POWER(10,Calculate[[#This Row],[AFE_noise_ds]]/10)+POWER(10,Calculate[[#This Row],[Echo_res_ds]]/10))</f>
        <v>-138.38708034075668</v>
      </c>
      <c r="T26" s="2">
        <f>Calculate[[#This Row],[Rx_PSD_us]]-Calculate[[#This Row],[Noise_us]]</f>
        <v>30.960813471064895</v>
      </c>
      <c r="U26" s="2">
        <f>Calculate[[#This Row],[Rx_PSD_ds]]-Calculate[[#This Row],[Noise_ds]]</f>
        <v>30.960813471064895</v>
      </c>
      <c r="V26" s="2">
        <f>POWER(10,Calculate[[#This Row],[SNRdB_us]]/10)</f>
        <v>1247.6171818293158</v>
      </c>
      <c r="W26" s="2">
        <f>POWER(10,Calculate[[#This Row],[SNRdB_ds]]/10)</f>
        <v>1247.6171818293158</v>
      </c>
      <c r="X26" s="2">
        <f>-(0.002*Calculate[[#This Row],[Freq]]/1000000/2.5+0.68*(Calculate[[#This Row],[Freq]]/1000000/2.5)^0.45)</f>
        <v>-11.528073371017001</v>
      </c>
    </row>
    <row r="27" spans="1:24" x14ac:dyDescent="0.25">
      <c r="A27" s="34">
        <f t="shared" si="4"/>
        <v>1170000000</v>
      </c>
      <c r="B27" s="1">
        <f>Calculate[[#This Row],[Freq]]-A26</f>
        <v>45000000</v>
      </c>
      <c r="C27">
        <f>Channels!B27*cable_length</f>
        <v>-9.1563437980821885</v>
      </c>
      <c r="D27" s="2">
        <f>Masks!A27</f>
        <v>-98.470325397914564</v>
      </c>
      <c r="E27" s="2">
        <f>Masks!B27</f>
        <v>-98.470325397914564</v>
      </c>
      <c r="F27" s="2">
        <f>Calculate[[#This Row],[Tx_PSD_us]]+Calculate[[#This Row],[IL]]</f>
        <v>-107.62666919599675</v>
      </c>
      <c r="G27" s="2">
        <f>Calculate[[#This Row],[Tx_PSD_ds]]+Calculate[[#This Row],[IL]]</f>
        <v>-107.62666919599675</v>
      </c>
      <c r="H27" s="2">
        <f>Masks[[#This Row],[channel_echo]]</f>
        <v>-16.399749108106025</v>
      </c>
      <c r="I27" s="2">
        <f>Masks[[#This Row],[channel_echo]]</f>
        <v>-16.399749108106025</v>
      </c>
      <c r="J27" s="2">
        <f>Calculate[[#This Row],[Echo_transfer_us]]+Calculate[[#This Row],[Tx_PSD_ds]]</f>
        <v>-114.87007450602059</v>
      </c>
      <c r="K27" s="2">
        <f>Calculate[[#This Row],[Echo_transfer_ds]]+Calculate[[#This Row],[Tx_PSD_us]]</f>
        <v>-114.87007450602059</v>
      </c>
      <c r="L27" s="2">
        <f t="shared" si="0"/>
        <v>-140</v>
      </c>
      <c r="M27" s="2">
        <f t="shared" si="1"/>
        <v>-140</v>
      </c>
      <c r="N27" s="2">
        <f t="shared" si="2"/>
        <v>5</v>
      </c>
      <c r="O27" s="2">
        <f t="shared" si="3"/>
        <v>5</v>
      </c>
      <c r="P27" s="2">
        <f>10*LOG10((10^(Calculate[[#This Row],[Rx_echo_us]]/10))-(10^((Masks[[#This Row],[connector_echo]]+Calculate[[#This Row],[Tx_PSD_ds]])/10))*EC_conector_ratio_us)-Calculate[[#This Row],[EC_cancelation_us]]</f>
        <v>-143.47032539791167</v>
      </c>
      <c r="Q27" s="2">
        <f>10*LOG10((10^(Calculate[[#This Row],[Rx_echo_ds]]/10))-(10^((Masks[[#This Row],[connector_echo]]+Calculate[[#This Row],[Tx_PSD_us]])/10))*EC_conector_ratio_ds)-Calculate[[#This Row],[EC_cancelation_ds]]</f>
        <v>-143.47032539791167</v>
      </c>
      <c r="R27" s="2">
        <f>10*LOG10(POWER(10,Calculate[[#This Row],[AFE_noise_us]]/10)+POWER(10,Calculate[[#This Row],[Echo_res_us]]/10))</f>
        <v>-138.38708034075569</v>
      </c>
      <c r="S27" s="2">
        <f>10*LOG10(POWER(10,Calculate[[#This Row],[AFE_noise_ds]]/10)+POWER(10,Calculate[[#This Row],[Echo_res_ds]]/10))</f>
        <v>-138.38708034075569</v>
      </c>
      <c r="T27" s="2">
        <f>Calculate[[#This Row],[Rx_PSD_us]]-Calculate[[#This Row],[Noise_us]]</f>
        <v>30.760411144758933</v>
      </c>
      <c r="U27" s="2">
        <f>Calculate[[#This Row],[Rx_PSD_ds]]-Calculate[[#This Row],[Noise_ds]]</f>
        <v>30.760411144758933</v>
      </c>
      <c r="V27" s="2">
        <f>POWER(10,Calculate[[#This Row],[SNRdB_us]]/10)</f>
        <v>1191.3547877454382</v>
      </c>
      <c r="W27" s="2">
        <f>POWER(10,Calculate[[#This Row],[SNRdB_ds]]/10)</f>
        <v>1191.3547877454382</v>
      </c>
      <c r="X27" s="2">
        <f>-(0.002*Calculate[[#This Row],[Freq]]/1000000/2.5+0.68*(Calculate[[#This Row],[Freq]]/1000000/2.5)^0.45)</f>
        <v>-11.753316744816626</v>
      </c>
    </row>
    <row r="28" spans="1:24" x14ac:dyDescent="0.25">
      <c r="A28" s="34">
        <f t="shared" si="4"/>
        <v>1215000000</v>
      </c>
      <c r="B28" s="1">
        <f>Calculate[[#This Row],[Freq]]-A27</f>
        <v>45000000</v>
      </c>
      <c r="C28">
        <f>Channels!B28*cable_length</f>
        <v>-9.3537973086708934</v>
      </c>
      <c r="D28" s="2">
        <f>Masks!A28</f>
        <v>-98.470325397914564</v>
      </c>
      <c r="E28" s="2">
        <f>Masks!B28</f>
        <v>-98.470325397914564</v>
      </c>
      <c r="F28" s="2">
        <f>Calculate[[#This Row],[Tx_PSD_us]]+Calculate[[#This Row],[IL]]</f>
        <v>-107.82412270658546</v>
      </c>
      <c r="G28" s="2">
        <f>Calculate[[#This Row],[Tx_PSD_ds]]+Calculate[[#This Row],[IL]]</f>
        <v>-107.82412270658546</v>
      </c>
      <c r="H28" s="2">
        <f>Masks[[#This Row],[channel_echo]]</f>
        <v>-16.257100123246889</v>
      </c>
      <c r="I28" s="2">
        <f>Masks[[#This Row],[channel_echo]]</f>
        <v>-16.257100123246889</v>
      </c>
      <c r="J28" s="2">
        <f>Calculate[[#This Row],[Echo_transfer_us]]+Calculate[[#This Row],[Tx_PSD_ds]]</f>
        <v>-114.72742552116145</v>
      </c>
      <c r="K28" s="2">
        <f>Calculate[[#This Row],[Echo_transfer_ds]]+Calculate[[#This Row],[Tx_PSD_us]]</f>
        <v>-114.72742552116145</v>
      </c>
      <c r="L28" s="2">
        <f t="shared" si="0"/>
        <v>-140</v>
      </c>
      <c r="M28" s="2">
        <f t="shared" si="1"/>
        <v>-140</v>
      </c>
      <c r="N28" s="2">
        <f t="shared" si="2"/>
        <v>5</v>
      </c>
      <c r="O28" s="2">
        <f t="shared" si="3"/>
        <v>5</v>
      </c>
      <c r="P28" s="2">
        <f>10*LOG10((10^(Calculate[[#This Row],[Rx_echo_us]]/10))-(10^((Masks[[#This Row],[connector_echo]]+Calculate[[#This Row],[Tx_PSD_ds]])/10))*EC_conector_ratio_us)-Calculate[[#This Row],[EC_cancelation_us]]</f>
        <v>-143.47032539791275</v>
      </c>
      <c r="Q28" s="2">
        <f>10*LOG10((10^(Calculate[[#This Row],[Rx_echo_ds]]/10))-(10^((Masks[[#This Row],[connector_echo]]+Calculate[[#This Row],[Tx_PSD_us]])/10))*EC_conector_ratio_ds)-Calculate[[#This Row],[EC_cancelation_ds]]</f>
        <v>-143.47032539791275</v>
      </c>
      <c r="R28" s="2">
        <f>10*LOG10(POWER(10,Calculate[[#This Row],[AFE_noise_us]]/10)+POWER(10,Calculate[[#This Row],[Echo_res_us]]/10))</f>
        <v>-138.38708034075603</v>
      </c>
      <c r="S28" s="2">
        <f>10*LOG10(POWER(10,Calculate[[#This Row],[AFE_noise_ds]]/10)+POWER(10,Calculate[[#This Row],[Echo_res_ds]]/10))</f>
        <v>-138.38708034075603</v>
      </c>
      <c r="T28" s="2">
        <f>Calculate[[#This Row],[Rx_PSD_us]]-Calculate[[#This Row],[Noise_us]]</f>
        <v>30.562957634170573</v>
      </c>
      <c r="U28" s="2">
        <f>Calculate[[#This Row],[Rx_PSD_ds]]-Calculate[[#This Row],[Noise_ds]]</f>
        <v>30.562957634170573</v>
      </c>
      <c r="V28" s="2">
        <f>POWER(10,Calculate[[#This Row],[SNRdB_us]]/10)</f>
        <v>1138.4022971219952</v>
      </c>
      <c r="W28" s="2">
        <f>POWER(10,Calculate[[#This Row],[SNRdB_ds]]/10)</f>
        <v>1138.4022971219952</v>
      </c>
      <c r="X28" s="2">
        <f>-(0.002*Calculate[[#This Row],[Freq]]/1000000/2.5+0.68*(Calculate[[#This Row],[Freq]]/1000000/2.5)^0.45)</f>
        <v>-11.974597705275832</v>
      </c>
    </row>
    <row r="29" spans="1:24" x14ac:dyDescent="0.25">
      <c r="A29" s="34">
        <f t="shared" si="4"/>
        <v>1260000000</v>
      </c>
      <c r="B29" s="1">
        <f>Calculate[[#This Row],[Freq]]-A28</f>
        <v>45000000</v>
      </c>
      <c r="C29">
        <f>Channels!B29*cable_length</f>
        <v>-9.5484643940104643</v>
      </c>
      <c r="D29" s="2">
        <f>Masks!A29</f>
        <v>-98.470325397914564</v>
      </c>
      <c r="E29" s="2">
        <f>Masks!B29</f>
        <v>-98.470325397914564</v>
      </c>
      <c r="F29" s="2">
        <f>Calculate[[#This Row],[Tx_PSD_us]]+Calculate[[#This Row],[IL]]</f>
        <v>-108.01878979192503</v>
      </c>
      <c r="G29" s="2">
        <f>Calculate[[#This Row],[Tx_PSD_ds]]+Calculate[[#This Row],[IL]]</f>
        <v>-108.01878979192503</v>
      </c>
      <c r="H29" s="2">
        <f>Masks[[#This Row],[channel_echo]]</f>
        <v>-16.118987984294836</v>
      </c>
      <c r="I29" s="2">
        <f>Masks[[#This Row],[channel_echo]]</f>
        <v>-16.118987984294836</v>
      </c>
      <c r="J29" s="2">
        <f>Calculate[[#This Row],[Echo_transfer_us]]+Calculate[[#This Row],[Tx_PSD_ds]]</f>
        <v>-114.5893133822094</v>
      </c>
      <c r="K29" s="2">
        <f>Calculate[[#This Row],[Echo_transfer_ds]]+Calculate[[#This Row],[Tx_PSD_us]]</f>
        <v>-114.5893133822094</v>
      </c>
      <c r="L29" s="2">
        <f t="shared" si="0"/>
        <v>-140</v>
      </c>
      <c r="M29" s="2">
        <f t="shared" si="1"/>
        <v>-140</v>
      </c>
      <c r="N29" s="2">
        <f t="shared" si="2"/>
        <v>5</v>
      </c>
      <c r="O29" s="2">
        <f t="shared" si="3"/>
        <v>5</v>
      </c>
      <c r="P29" s="2">
        <f>10*LOG10((10^(Calculate[[#This Row],[Rx_echo_us]]/10))-(10^((Masks[[#This Row],[connector_echo]]+Calculate[[#This Row],[Tx_PSD_ds]])/10))*EC_conector_ratio_us)-Calculate[[#This Row],[EC_cancelation_us]]</f>
        <v>-143.47032539791388</v>
      </c>
      <c r="Q29" s="2">
        <f>10*LOG10((10^(Calculate[[#This Row],[Rx_echo_ds]]/10))-(10^((Masks[[#This Row],[connector_echo]]+Calculate[[#This Row],[Tx_PSD_us]])/10))*EC_conector_ratio_ds)-Calculate[[#This Row],[EC_cancelation_ds]]</f>
        <v>-143.47032539791388</v>
      </c>
      <c r="R29" s="2">
        <f>10*LOG10(POWER(10,Calculate[[#This Row],[AFE_noise_us]]/10)+POWER(10,Calculate[[#This Row],[Echo_res_us]]/10))</f>
        <v>-138.38708034075637</v>
      </c>
      <c r="S29" s="2">
        <f>10*LOG10(POWER(10,Calculate[[#This Row],[AFE_noise_ds]]/10)+POWER(10,Calculate[[#This Row],[Echo_res_ds]]/10))</f>
        <v>-138.38708034075637</v>
      </c>
      <c r="T29" s="2">
        <f>Calculate[[#This Row],[Rx_PSD_us]]-Calculate[[#This Row],[Noise_us]]</f>
        <v>30.368290548831339</v>
      </c>
      <c r="U29" s="2">
        <f>Calculate[[#This Row],[Rx_PSD_ds]]-Calculate[[#This Row],[Noise_ds]]</f>
        <v>30.368290548831339</v>
      </c>
      <c r="V29" s="2">
        <f>POWER(10,Calculate[[#This Row],[SNRdB_us]]/10)</f>
        <v>1088.501557721353</v>
      </c>
      <c r="W29" s="2">
        <f>POWER(10,Calculate[[#This Row],[SNRdB_ds]]/10)</f>
        <v>1088.501557721353</v>
      </c>
      <c r="X29" s="2">
        <f>-(0.002*Calculate[[#This Row],[Freq]]/1000000/2.5+0.68*(Calculate[[#This Row],[Freq]]/1000000/2.5)^0.45)</f>
        <v>-12.192141526907381</v>
      </c>
    </row>
    <row r="30" spans="1:24" x14ac:dyDescent="0.25">
      <c r="A30" s="34">
        <f t="shared" si="4"/>
        <v>1305000000</v>
      </c>
      <c r="B30" s="1">
        <f>Calculate[[#This Row],[Freq]]-A29</f>
        <v>45000000</v>
      </c>
      <c r="C30">
        <f>Channels!B30*cable_length</f>
        <v>-9.7404930654702966</v>
      </c>
      <c r="D30" s="2">
        <f>Masks!A30</f>
        <v>-98.470325397914564</v>
      </c>
      <c r="E30" s="2">
        <f>Masks!B30</f>
        <v>-98.470325397914564</v>
      </c>
      <c r="F30" s="2">
        <f>Calculate[[#This Row],[Tx_PSD_us]]+Calculate[[#This Row],[IL]]</f>
        <v>-108.21081846338487</v>
      </c>
      <c r="G30" s="2">
        <f>Calculate[[#This Row],[Tx_PSD_ds]]+Calculate[[#This Row],[IL]]</f>
        <v>-108.21081846338487</v>
      </c>
      <c r="H30" s="2">
        <f>Masks[[#This Row],[channel_echo]]</f>
        <v>-15.985132982258305</v>
      </c>
      <c r="I30" s="2">
        <f>Masks[[#This Row],[channel_echo]]</f>
        <v>-15.985132982258305</v>
      </c>
      <c r="J30" s="2">
        <f>Calculate[[#This Row],[Echo_transfer_us]]+Calculate[[#This Row],[Tx_PSD_ds]]</f>
        <v>-114.45545838017287</v>
      </c>
      <c r="K30" s="2">
        <f>Calculate[[#This Row],[Echo_transfer_ds]]+Calculate[[#This Row],[Tx_PSD_us]]</f>
        <v>-114.45545838017287</v>
      </c>
      <c r="L30" s="2">
        <f t="shared" si="0"/>
        <v>-140</v>
      </c>
      <c r="M30" s="2">
        <f t="shared" si="1"/>
        <v>-140</v>
      </c>
      <c r="N30" s="2">
        <f t="shared" si="2"/>
        <v>5</v>
      </c>
      <c r="O30" s="2">
        <f t="shared" si="3"/>
        <v>5</v>
      </c>
      <c r="P30" s="2">
        <f>10*LOG10((10^(Calculate[[#This Row],[Rx_echo_us]]/10))-(10^((Masks[[#This Row],[connector_echo]]+Calculate[[#This Row],[Tx_PSD_ds]])/10))*EC_conector_ratio_us)-Calculate[[#This Row],[EC_cancelation_us]]</f>
        <v>-143.47032539791573</v>
      </c>
      <c r="Q30" s="2">
        <f>10*LOG10((10^(Calculate[[#This Row],[Rx_echo_ds]]/10))-(10^((Masks[[#This Row],[connector_echo]]+Calculate[[#This Row],[Tx_PSD_us]])/10))*EC_conector_ratio_ds)-Calculate[[#This Row],[EC_cancelation_ds]]</f>
        <v>-143.47032539791573</v>
      </c>
      <c r="R30" s="2">
        <f>10*LOG10(POWER(10,Calculate[[#This Row],[AFE_noise_us]]/10)+POWER(10,Calculate[[#This Row],[Echo_res_us]]/10))</f>
        <v>-138.38708034075697</v>
      </c>
      <c r="S30" s="2">
        <f>10*LOG10(POWER(10,Calculate[[#This Row],[AFE_noise_ds]]/10)+POWER(10,Calculate[[#This Row],[Echo_res_ds]]/10))</f>
        <v>-138.38708034075697</v>
      </c>
      <c r="T30" s="2">
        <f>Calculate[[#This Row],[Rx_PSD_us]]-Calculate[[#This Row],[Noise_us]]</f>
        <v>30.176261877372099</v>
      </c>
      <c r="U30" s="2">
        <f>Calculate[[#This Row],[Rx_PSD_ds]]-Calculate[[#This Row],[Noise_ds]]</f>
        <v>30.176261877372099</v>
      </c>
      <c r="V30" s="2">
        <f>POWER(10,Calculate[[#This Row],[SNRdB_us]]/10)</f>
        <v>1041.4206567730903</v>
      </c>
      <c r="W30" s="2">
        <f>POWER(10,Calculate[[#This Row],[SNRdB_ds]]/10)</f>
        <v>1041.4206567730903</v>
      </c>
      <c r="X30" s="2">
        <f>-(0.002*Calculate[[#This Row],[Freq]]/1000000/2.5+0.68*(Calculate[[#This Row],[Freq]]/1000000/2.5)^0.45)</f>
        <v>-12.406153156250484</v>
      </c>
    </row>
    <row r="31" spans="1:24" x14ac:dyDescent="0.25">
      <c r="A31" s="34">
        <f t="shared" si="4"/>
        <v>1350000000</v>
      </c>
      <c r="B31" s="1">
        <f>Calculate[[#This Row],[Freq]]-A30</f>
        <v>45000000</v>
      </c>
      <c r="C31">
        <f>Channels!B31*cable_length</f>
        <v>-9.9300186771046075</v>
      </c>
      <c r="D31" s="2">
        <f>Masks!A31</f>
        <v>-98.470325397914564</v>
      </c>
      <c r="E31" s="2">
        <f>Masks!B31</f>
        <v>-98.470325397914564</v>
      </c>
      <c r="F31" s="2">
        <f>Calculate[[#This Row],[Tx_PSD_us]]+Calculate[[#This Row],[IL]]</f>
        <v>-108.40034407501918</v>
      </c>
      <c r="G31" s="2">
        <f>Calculate[[#This Row],[Tx_PSD_ds]]+Calculate[[#This Row],[IL]]</f>
        <v>-108.40034407501918</v>
      </c>
      <c r="H31" s="2">
        <f>Masks[[#This Row],[channel_echo]]</f>
        <v>-15.855280503706977</v>
      </c>
      <c r="I31" s="2">
        <f>Masks[[#This Row],[channel_echo]]</f>
        <v>-15.855280503706977</v>
      </c>
      <c r="J31" s="2">
        <f>Calculate[[#This Row],[Echo_transfer_us]]+Calculate[[#This Row],[Tx_PSD_ds]]</f>
        <v>-114.32560590162154</v>
      </c>
      <c r="K31" s="2">
        <f>Calculate[[#This Row],[Echo_transfer_ds]]+Calculate[[#This Row],[Tx_PSD_us]]</f>
        <v>-114.32560590162154</v>
      </c>
      <c r="L31" s="2">
        <f t="shared" si="0"/>
        <v>-140</v>
      </c>
      <c r="M31" s="2">
        <f t="shared" si="1"/>
        <v>-140</v>
      </c>
      <c r="N31" s="2">
        <f t="shared" si="2"/>
        <v>5</v>
      </c>
      <c r="O31" s="2">
        <f t="shared" si="3"/>
        <v>5</v>
      </c>
      <c r="P31" s="2">
        <f>10*LOG10((10^(Calculate[[#This Row],[Rx_echo_us]]/10))-(10^((Masks[[#This Row],[connector_echo]]+Calculate[[#This Row],[Tx_PSD_ds]])/10))*EC_conector_ratio_us)-Calculate[[#This Row],[EC_cancelation_us]]</f>
        <v>-143.47032539791684</v>
      </c>
      <c r="Q31" s="2">
        <f>10*LOG10((10^(Calculate[[#This Row],[Rx_echo_ds]]/10))-(10^((Masks[[#This Row],[connector_echo]]+Calculate[[#This Row],[Tx_PSD_us]])/10))*EC_conector_ratio_ds)-Calculate[[#This Row],[EC_cancelation_ds]]</f>
        <v>-143.47032539791684</v>
      </c>
      <c r="R31" s="2">
        <f>10*LOG10(POWER(10,Calculate[[#This Row],[AFE_noise_us]]/10)+POWER(10,Calculate[[#This Row],[Echo_res_us]]/10))</f>
        <v>-138.38708034075728</v>
      </c>
      <c r="S31" s="2">
        <f>10*LOG10(POWER(10,Calculate[[#This Row],[AFE_noise_ds]]/10)+POWER(10,Calculate[[#This Row],[Echo_res_ds]]/10))</f>
        <v>-138.38708034075728</v>
      </c>
      <c r="T31" s="2">
        <f>Calculate[[#This Row],[Rx_PSD_us]]-Calculate[[#This Row],[Noise_us]]</f>
        <v>29.986736265738102</v>
      </c>
      <c r="U31" s="2">
        <f>Calculate[[#This Row],[Rx_PSD_ds]]-Calculate[[#This Row],[Noise_ds]]</f>
        <v>29.986736265738102</v>
      </c>
      <c r="V31" s="2">
        <f>POWER(10,Calculate[[#This Row],[SNRdB_us]]/10)</f>
        <v>996.95057130270175</v>
      </c>
      <c r="W31" s="2">
        <f>POWER(10,Calculate[[#This Row],[SNRdB_ds]]/10)</f>
        <v>996.95057130270175</v>
      </c>
      <c r="X31" s="2">
        <f>-(0.002*Calculate[[#This Row],[Freq]]/1000000/2.5+0.68*(Calculate[[#This Row],[Freq]]/1000000/2.5)^0.45)</f>
        <v>-12.616819678608074</v>
      </c>
    </row>
    <row r="32" spans="1:24" x14ac:dyDescent="0.25">
      <c r="A32" s="34">
        <f t="shared" si="4"/>
        <v>1395000000</v>
      </c>
      <c r="B32" s="1">
        <f>Calculate[[#This Row],[Freq]]-A31</f>
        <v>45000000</v>
      </c>
      <c r="C32">
        <f>Channels!B32*cable_length</f>
        <v>-10.117165391093316</v>
      </c>
      <c r="D32" s="2">
        <f>Masks!A32</f>
        <v>-98.470325397914564</v>
      </c>
      <c r="E32" s="2">
        <f>Masks!B32</f>
        <v>-98.470325397914564</v>
      </c>
      <c r="F32" s="2">
        <f>Calculate[[#This Row],[Tx_PSD_us]]+Calculate[[#This Row],[IL]]</f>
        <v>-108.58749078900789</v>
      </c>
      <c r="G32" s="2">
        <f>Calculate[[#This Row],[Tx_PSD_ds]]+Calculate[[#This Row],[IL]]</f>
        <v>-108.58749078900789</v>
      </c>
      <c r="H32" s="2">
        <f>Masks[[#This Row],[channel_echo]]</f>
        <v>-15.729198115636407</v>
      </c>
      <c r="I32" s="2">
        <f>Masks[[#This Row],[channel_echo]]</f>
        <v>-15.729198115636407</v>
      </c>
      <c r="J32" s="2">
        <f>Calculate[[#This Row],[Echo_transfer_us]]+Calculate[[#This Row],[Tx_PSD_ds]]</f>
        <v>-114.19952351355097</v>
      </c>
      <c r="K32" s="2">
        <f>Calculate[[#This Row],[Echo_transfer_ds]]+Calculate[[#This Row],[Tx_PSD_us]]</f>
        <v>-114.19952351355097</v>
      </c>
      <c r="L32" s="2">
        <f t="shared" si="0"/>
        <v>-140</v>
      </c>
      <c r="M32" s="2">
        <f t="shared" si="1"/>
        <v>-140</v>
      </c>
      <c r="N32" s="2">
        <f t="shared" si="2"/>
        <v>5</v>
      </c>
      <c r="O32" s="2">
        <f t="shared" si="3"/>
        <v>5</v>
      </c>
      <c r="P32" s="2">
        <f>10*LOG10((10^(Calculate[[#This Row],[Rx_echo_us]]/10))-(10^((Masks[[#This Row],[connector_echo]]+Calculate[[#This Row],[Tx_PSD_ds]])/10))*EC_conector_ratio_us)-Calculate[[#This Row],[EC_cancelation_us]]</f>
        <v>-143.47032539791363</v>
      </c>
      <c r="Q32" s="2">
        <f>10*LOG10((10^(Calculate[[#This Row],[Rx_echo_ds]]/10))-(10^((Masks[[#This Row],[connector_echo]]+Calculate[[#This Row],[Tx_PSD_us]])/10))*EC_conector_ratio_ds)-Calculate[[#This Row],[EC_cancelation_ds]]</f>
        <v>-143.47032539791363</v>
      </c>
      <c r="R32" s="2">
        <f>10*LOG10(POWER(10,Calculate[[#This Row],[AFE_noise_us]]/10)+POWER(10,Calculate[[#This Row],[Echo_res_us]]/10))</f>
        <v>-138.38708034075631</v>
      </c>
      <c r="S32" s="2">
        <f>10*LOG10(POWER(10,Calculate[[#This Row],[AFE_noise_ds]]/10)+POWER(10,Calculate[[#This Row],[Echo_res_ds]]/10))</f>
        <v>-138.38708034075631</v>
      </c>
      <c r="T32" s="2">
        <f>Calculate[[#This Row],[Rx_PSD_us]]-Calculate[[#This Row],[Noise_us]]</f>
        <v>29.799589551748426</v>
      </c>
      <c r="U32" s="2">
        <f>Calculate[[#This Row],[Rx_PSD_ds]]-Calculate[[#This Row],[Noise_ds]]</f>
        <v>29.799589551748426</v>
      </c>
      <c r="V32" s="2">
        <f>POWER(10,Calculate[[#This Row],[SNRdB_us]]/10)</f>
        <v>954.90233469854627</v>
      </c>
      <c r="W32" s="2">
        <f>POWER(10,Calculate[[#This Row],[SNRdB_ds]]/10)</f>
        <v>954.90233469854627</v>
      </c>
      <c r="X32" s="2">
        <f>-(0.002*Calculate[[#This Row],[Freq]]/1000000/2.5+0.68*(Calculate[[#This Row],[Freq]]/1000000/2.5)^0.45)</f>
        <v>-12.824312413766158</v>
      </c>
    </row>
    <row r="33" spans="1:24" x14ac:dyDescent="0.25">
      <c r="A33" s="34">
        <f t="shared" si="4"/>
        <v>1440000000</v>
      </c>
      <c r="B33" s="1">
        <f>Calculate[[#This Row],[Freq]]-A32</f>
        <v>45000000</v>
      </c>
      <c r="C33">
        <f>Channels!B33*cable_length</f>
        <v>-10.302047431998776</v>
      </c>
      <c r="D33" s="2">
        <f>Masks!A33</f>
        <v>-98.470325397914564</v>
      </c>
      <c r="E33" s="2">
        <f>Masks!B33</f>
        <v>-98.470325397914564</v>
      </c>
      <c r="F33" s="2">
        <f>Calculate[[#This Row],[Tx_PSD_us]]+Calculate[[#This Row],[IL]]</f>
        <v>-108.77237282991334</v>
      </c>
      <c r="G33" s="2">
        <f>Calculate[[#This Row],[Tx_PSD_ds]]+Calculate[[#This Row],[IL]]</f>
        <v>-108.77237282991334</v>
      </c>
      <c r="H33" s="2">
        <f>Masks[[#This Row],[channel_echo]]</f>
        <v>-15.606673061697375</v>
      </c>
      <c r="I33" s="2">
        <f>Masks[[#This Row],[channel_echo]]</f>
        <v>-15.606673061697375</v>
      </c>
      <c r="J33" s="2">
        <f>Calculate[[#This Row],[Echo_transfer_us]]+Calculate[[#This Row],[Tx_PSD_ds]]</f>
        <v>-114.07699845961194</v>
      </c>
      <c r="K33" s="2">
        <f>Calculate[[#This Row],[Echo_transfer_ds]]+Calculate[[#This Row],[Tx_PSD_us]]</f>
        <v>-114.07699845961194</v>
      </c>
      <c r="L33" s="2">
        <f t="shared" si="0"/>
        <v>-140</v>
      </c>
      <c r="M33" s="2">
        <f t="shared" si="1"/>
        <v>-140</v>
      </c>
      <c r="N33" s="2">
        <f t="shared" si="2"/>
        <v>5</v>
      </c>
      <c r="O33" s="2">
        <f t="shared" si="3"/>
        <v>5</v>
      </c>
      <c r="P33" s="2">
        <f>10*LOG10((10^(Calculate[[#This Row],[Rx_echo_us]]/10))-(10^((Masks[[#This Row],[connector_echo]]+Calculate[[#This Row],[Tx_PSD_ds]])/10))*EC_conector_ratio_us)-Calculate[[#This Row],[EC_cancelation_us]]</f>
        <v>-143.47032539791141</v>
      </c>
      <c r="Q33" s="2">
        <f>10*LOG10((10^(Calculate[[#This Row],[Rx_echo_ds]]/10))-(10^((Masks[[#This Row],[connector_echo]]+Calculate[[#This Row],[Tx_PSD_us]])/10))*EC_conector_ratio_ds)-Calculate[[#This Row],[EC_cancelation_ds]]</f>
        <v>-143.47032539791141</v>
      </c>
      <c r="R33" s="2">
        <f>10*LOG10(POWER(10,Calculate[[#This Row],[AFE_noise_us]]/10)+POWER(10,Calculate[[#This Row],[Echo_res_us]]/10))</f>
        <v>-138.3870803407556</v>
      </c>
      <c r="S33" s="2">
        <f>10*LOG10(POWER(10,Calculate[[#This Row],[AFE_noise_ds]]/10)+POWER(10,Calculate[[#This Row],[Echo_res_ds]]/10))</f>
        <v>-138.3870803407556</v>
      </c>
      <c r="T33" s="2">
        <f>Calculate[[#This Row],[Rx_PSD_us]]-Calculate[[#This Row],[Noise_us]]</f>
        <v>29.614707510842265</v>
      </c>
      <c r="U33" s="2">
        <f>Calculate[[#This Row],[Rx_PSD_ds]]-Calculate[[#This Row],[Noise_ds]]</f>
        <v>29.614707510842265</v>
      </c>
      <c r="V33" s="2">
        <f>POWER(10,Calculate[[#This Row],[SNRdB_us]]/10)</f>
        <v>915.10462663200815</v>
      </c>
      <c r="W33" s="2">
        <f>POWER(10,Calculate[[#This Row],[SNRdB_ds]]/10)</f>
        <v>915.10462663200815</v>
      </c>
      <c r="X33" s="2">
        <f>-(0.002*Calculate[[#This Row],[Freq]]/1000000/2.5+0.68*(Calculate[[#This Row],[Freq]]/1000000/2.5)^0.45)</f>
        <v>-13.028788706594037</v>
      </c>
    </row>
    <row r="34" spans="1:24" x14ac:dyDescent="0.25">
      <c r="A34" s="34">
        <f t="shared" si="4"/>
        <v>1485000000</v>
      </c>
      <c r="B34" s="1">
        <f>Calculate[[#This Row],[Freq]]-A33</f>
        <v>45000000</v>
      </c>
      <c r="C34">
        <f>Channels!B34*cable_length</f>
        <v>-10.484770165885148</v>
      </c>
      <c r="D34" s="2">
        <f>Masks!A34</f>
        <v>-98.470325397914564</v>
      </c>
      <c r="E34" s="2">
        <f>Masks!B34</f>
        <v>-98.470325397914564</v>
      </c>
      <c r="F34" s="2">
        <f>Calculate[[#This Row],[Tx_PSD_us]]+Calculate[[#This Row],[IL]]</f>
        <v>-108.95509556379972</v>
      </c>
      <c r="G34" s="2">
        <f>Calculate[[#This Row],[Tx_PSD_ds]]+Calculate[[#This Row],[IL]]</f>
        <v>-108.95509556379972</v>
      </c>
      <c r="H34" s="2">
        <f>Masks[[#This Row],[channel_echo]]</f>
        <v>-15.487510102038627</v>
      </c>
      <c r="I34" s="2">
        <f>Masks[[#This Row],[channel_echo]]</f>
        <v>-15.487510102038627</v>
      </c>
      <c r="J34" s="2">
        <f>Calculate[[#This Row],[Echo_transfer_us]]+Calculate[[#This Row],[Tx_PSD_ds]]</f>
        <v>-113.95783549995319</v>
      </c>
      <c r="K34" s="2">
        <f>Calculate[[#This Row],[Echo_transfer_ds]]+Calculate[[#This Row],[Tx_PSD_us]]</f>
        <v>-113.95783549995319</v>
      </c>
      <c r="L34" s="2">
        <f t="shared" ref="L34:L65" si="5">AFE_noise_us</f>
        <v>-140</v>
      </c>
      <c r="M34" s="2">
        <f t="shared" ref="M34:M65" si="6">AFE_noise_ds</f>
        <v>-140</v>
      </c>
      <c r="N34" s="2">
        <f t="shared" ref="N34:N65" si="7">EC_cancel_us</f>
        <v>5</v>
      </c>
      <c r="O34" s="2">
        <f t="shared" ref="O34:O65" si="8">EC_cancel_ds</f>
        <v>5</v>
      </c>
      <c r="P34" s="2">
        <f>10*LOG10((10^(Calculate[[#This Row],[Rx_echo_us]]/10))-(10^((Masks[[#This Row],[connector_echo]]+Calculate[[#This Row],[Tx_PSD_ds]])/10))*EC_conector_ratio_us)-Calculate[[#This Row],[EC_cancelation_us]]</f>
        <v>-143.47032539791189</v>
      </c>
      <c r="Q34" s="2">
        <f>10*LOG10((10^(Calculate[[#This Row],[Rx_echo_ds]]/10))-(10^((Masks[[#This Row],[connector_echo]]+Calculate[[#This Row],[Tx_PSD_us]])/10))*EC_conector_ratio_ds)-Calculate[[#This Row],[EC_cancelation_ds]]</f>
        <v>-143.47032539791189</v>
      </c>
      <c r="R34" s="2">
        <f>10*LOG10(POWER(10,Calculate[[#This Row],[AFE_noise_us]]/10)+POWER(10,Calculate[[#This Row],[Echo_res_us]]/10))</f>
        <v>-138.38708034075574</v>
      </c>
      <c r="S34" s="2">
        <f>10*LOG10(POWER(10,Calculate[[#This Row],[AFE_noise_ds]]/10)+POWER(10,Calculate[[#This Row],[Echo_res_ds]]/10))</f>
        <v>-138.38708034075574</v>
      </c>
      <c r="T34" s="2">
        <f>Calculate[[#This Row],[Rx_PSD_us]]-Calculate[[#This Row],[Noise_us]]</f>
        <v>29.431984776956028</v>
      </c>
      <c r="U34" s="2">
        <f>Calculate[[#This Row],[Rx_PSD_ds]]-Calculate[[#This Row],[Noise_ds]]</f>
        <v>29.431984776956028</v>
      </c>
      <c r="V34" s="2">
        <f>POWER(10,Calculate[[#This Row],[SNRdB_us]]/10)</f>
        <v>877.40171245181079</v>
      </c>
      <c r="W34" s="2">
        <f>POWER(10,Calculate[[#This Row],[SNRdB_ds]]/10)</f>
        <v>877.40171245181079</v>
      </c>
      <c r="X34" s="2">
        <f>-(0.002*Calculate[[#This Row],[Freq]]/1000000/2.5+0.68*(Calculate[[#This Row],[Freq]]/1000000/2.5)^0.45)</f>
        <v>-13.23039346503745</v>
      </c>
    </row>
    <row r="35" spans="1:24" x14ac:dyDescent="0.25">
      <c r="A35" s="34">
        <f t="shared" ref="A35:A66" si="9">f_step+A34</f>
        <v>1530000000</v>
      </c>
      <c r="B35" s="1">
        <f>Calculate[[#This Row],[Freq]]-A34</f>
        <v>45000000</v>
      </c>
      <c r="C35">
        <f>Channels!B35*cable_length</f>
        <v>-10.665431033293812</v>
      </c>
      <c r="D35" s="2">
        <f>Masks!A35</f>
        <v>-98.470325397914564</v>
      </c>
      <c r="E35" s="2">
        <f>Masks!B35</f>
        <v>-98.470325397914564</v>
      </c>
      <c r="F35" s="2">
        <f>Calculate[[#This Row],[Tx_PSD_us]]+Calculate[[#This Row],[IL]]</f>
        <v>-109.13575643120838</v>
      </c>
      <c r="G35" s="2">
        <f>Calculate[[#This Row],[Tx_PSD_ds]]+Calculate[[#This Row],[IL]]</f>
        <v>-109.13575643120838</v>
      </c>
      <c r="H35" s="2">
        <f>Masks[[#This Row],[channel_echo]]</f>
        <v>-15.371529641683264</v>
      </c>
      <c r="I35" s="2">
        <f>Masks[[#This Row],[channel_echo]]</f>
        <v>-15.371529641683264</v>
      </c>
      <c r="J35" s="2">
        <f>Calculate[[#This Row],[Echo_transfer_us]]+Calculate[[#This Row],[Tx_PSD_ds]]</f>
        <v>-113.84185503959783</v>
      </c>
      <c r="K35" s="2">
        <f>Calculate[[#This Row],[Echo_transfer_ds]]+Calculate[[#This Row],[Tx_PSD_us]]</f>
        <v>-113.84185503959783</v>
      </c>
      <c r="L35" s="2">
        <f t="shared" si="5"/>
        <v>-140</v>
      </c>
      <c r="M35" s="2">
        <f t="shared" si="6"/>
        <v>-140</v>
      </c>
      <c r="N35" s="2">
        <f t="shared" si="7"/>
        <v>5</v>
      </c>
      <c r="O35" s="2">
        <f t="shared" si="8"/>
        <v>5</v>
      </c>
      <c r="P35" s="2">
        <f>10*LOG10((10^(Calculate[[#This Row],[Rx_echo_us]]/10))-(10^((Masks[[#This Row],[connector_echo]]+Calculate[[#This Row],[Tx_PSD_ds]])/10))*EC_conector_ratio_us)-Calculate[[#This Row],[EC_cancelation_us]]</f>
        <v>-143.47032539791684</v>
      </c>
      <c r="Q35" s="2">
        <f>10*LOG10((10^(Calculate[[#This Row],[Rx_echo_ds]]/10))-(10^((Masks[[#This Row],[connector_echo]]+Calculate[[#This Row],[Tx_PSD_us]])/10))*EC_conector_ratio_ds)-Calculate[[#This Row],[EC_cancelation_ds]]</f>
        <v>-143.47032539791684</v>
      </c>
      <c r="R35" s="2">
        <f>10*LOG10(POWER(10,Calculate[[#This Row],[AFE_noise_us]]/10)+POWER(10,Calculate[[#This Row],[Echo_res_us]]/10))</f>
        <v>-138.38708034075728</v>
      </c>
      <c r="S35" s="2">
        <f>10*LOG10(POWER(10,Calculate[[#This Row],[AFE_noise_ds]]/10)+POWER(10,Calculate[[#This Row],[Echo_res_ds]]/10))</f>
        <v>-138.38708034075728</v>
      </c>
      <c r="T35" s="2">
        <f>Calculate[[#This Row],[Rx_PSD_us]]-Calculate[[#This Row],[Noise_us]]</f>
        <v>29.251323909548901</v>
      </c>
      <c r="U35" s="2">
        <f>Calculate[[#This Row],[Rx_PSD_ds]]-Calculate[[#This Row],[Noise_ds]]</f>
        <v>29.251323909548901</v>
      </c>
      <c r="V35" s="2">
        <f>POWER(10,Calculate[[#This Row],[SNRdB_us]]/10)</f>
        <v>841.65167284977599</v>
      </c>
      <c r="W35" s="2">
        <f>POWER(10,Calculate[[#This Row],[SNRdB_ds]]/10)</f>
        <v>841.65167284977599</v>
      </c>
      <c r="X35" s="2">
        <f>-(0.002*Calculate[[#This Row],[Freq]]/1000000/2.5+0.68*(Calculate[[#This Row],[Freq]]/1000000/2.5)^0.45)</f>
        <v>-13.429260487670479</v>
      </c>
    </row>
    <row r="36" spans="1:24" x14ac:dyDescent="0.25">
      <c r="A36" s="34">
        <f t="shared" si="9"/>
        <v>1575000000</v>
      </c>
      <c r="B36" s="1">
        <f>Calculate[[#This Row],[Freq]]-A35</f>
        <v>45000000</v>
      </c>
      <c r="C36">
        <f>Channels!B36*cable_length</f>
        <v>-10.844120359560939</v>
      </c>
      <c r="D36" s="2">
        <f>Masks!A36</f>
        <v>-98.470325397914564</v>
      </c>
      <c r="E36" s="2">
        <f>Masks!B36</f>
        <v>-98.470325397914564</v>
      </c>
      <c r="F36" s="2">
        <f>Calculate[[#This Row],[Tx_PSD_us]]+Calculate[[#This Row],[IL]]</f>
        <v>-109.31444575747551</v>
      </c>
      <c r="G36" s="2">
        <f>Calculate[[#This Row],[Tx_PSD_ds]]+Calculate[[#This Row],[IL]]</f>
        <v>-109.31444575747551</v>
      </c>
      <c r="H36" s="2">
        <f>Masks[[#This Row],[channel_echo]]</f>
        <v>-15.258566102391946</v>
      </c>
      <c r="I36" s="2">
        <f>Masks[[#This Row],[channel_echo]]</f>
        <v>-15.258566102391946</v>
      </c>
      <c r="J36" s="2">
        <f>Calculate[[#This Row],[Echo_transfer_us]]+Calculate[[#This Row],[Tx_PSD_ds]]</f>
        <v>-113.7288915003065</v>
      </c>
      <c r="K36" s="2">
        <f>Calculate[[#This Row],[Echo_transfer_ds]]+Calculate[[#This Row],[Tx_PSD_us]]</f>
        <v>-113.7288915003065</v>
      </c>
      <c r="L36" s="2">
        <f t="shared" si="5"/>
        <v>-140</v>
      </c>
      <c r="M36" s="2">
        <f t="shared" si="6"/>
        <v>-140</v>
      </c>
      <c r="N36" s="2">
        <f t="shared" si="7"/>
        <v>5</v>
      </c>
      <c r="O36" s="2">
        <f t="shared" si="8"/>
        <v>5</v>
      </c>
      <c r="P36" s="2">
        <f>10*LOG10((10^(Calculate[[#This Row],[Rx_echo_us]]/10))-(10^((Masks[[#This Row],[connector_echo]]+Calculate[[#This Row],[Tx_PSD_ds]])/10))*EC_conector_ratio_us)-Calculate[[#This Row],[EC_cancelation_us]]</f>
        <v>-143.47032539791411</v>
      </c>
      <c r="Q36" s="2">
        <f>10*LOG10((10^(Calculate[[#This Row],[Rx_echo_ds]]/10))-(10^((Masks[[#This Row],[connector_echo]]+Calculate[[#This Row],[Tx_PSD_us]])/10))*EC_conector_ratio_ds)-Calculate[[#This Row],[EC_cancelation_ds]]</f>
        <v>-143.47032539791411</v>
      </c>
      <c r="R36" s="2">
        <f>10*LOG10(POWER(10,Calculate[[#This Row],[AFE_noise_us]]/10)+POWER(10,Calculate[[#This Row],[Echo_res_us]]/10))</f>
        <v>-138.38708034075643</v>
      </c>
      <c r="S36" s="2">
        <f>10*LOG10(POWER(10,Calculate[[#This Row],[AFE_noise_ds]]/10)+POWER(10,Calculate[[#This Row],[Echo_res_ds]]/10))</f>
        <v>-138.38708034075643</v>
      </c>
      <c r="T36" s="2">
        <f>Calculate[[#This Row],[Rx_PSD_us]]-Calculate[[#This Row],[Noise_us]]</f>
        <v>29.072634583280916</v>
      </c>
      <c r="U36" s="2">
        <f>Calculate[[#This Row],[Rx_PSD_ds]]-Calculate[[#This Row],[Noise_ds]]</f>
        <v>29.072634583280916</v>
      </c>
      <c r="V36" s="2">
        <f>POWER(10,Calculate[[#This Row],[SNRdB_us]]/10)</f>
        <v>807.72487601193154</v>
      </c>
      <c r="W36" s="2">
        <f>POWER(10,Calculate[[#This Row],[SNRdB_ds]]/10)</f>
        <v>807.72487601193154</v>
      </c>
      <c r="X36" s="2">
        <f>-(0.002*Calculate[[#This Row],[Freq]]/1000000/2.5+0.68*(Calculate[[#This Row],[Freq]]/1000000/2.5)^0.45)</f>
        <v>-13.625513614907099</v>
      </c>
    </row>
    <row r="37" spans="1:24" x14ac:dyDescent="0.25">
      <c r="A37" s="34">
        <f t="shared" si="9"/>
        <v>1620000000</v>
      </c>
      <c r="B37" s="1">
        <f>Calculate[[#This Row],[Freq]]-A36</f>
        <v>45000000</v>
      </c>
      <c r="C37">
        <f>Channels!B37*cable_length</f>
        <v>-11.020922061628974</v>
      </c>
      <c r="D37" s="2">
        <f>Masks!A37</f>
        <v>-98.470325397914564</v>
      </c>
      <c r="E37" s="2">
        <f>Masks!B37</f>
        <v>-98.470325397914564</v>
      </c>
      <c r="F37" s="2">
        <f>Calculate[[#This Row],[Tx_PSD_us]]+Calculate[[#This Row],[IL]]</f>
        <v>-109.49124745954354</v>
      </c>
      <c r="G37" s="2">
        <f>Calculate[[#This Row],[Tx_PSD_ds]]+Calculate[[#This Row],[IL]]</f>
        <v>-109.49124745954354</v>
      </c>
      <c r="H37" s="2">
        <f>Masks[[#This Row],[channel_echo]]</f>
        <v>-15.148466500963478</v>
      </c>
      <c r="I37" s="2">
        <f>Masks[[#This Row],[channel_echo]]</f>
        <v>-15.148466500963478</v>
      </c>
      <c r="J37" s="2">
        <f>Calculate[[#This Row],[Echo_transfer_us]]+Calculate[[#This Row],[Tx_PSD_ds]]</f>
        <v>-113.61879189887804</v>
      </c>
      <c r="K37" s="2">
        <f>Calculate[[#This Row],[Echo_transfer_ds]]+Calculate[[#This Row],[Tx_PSD_us]]</f>
        <v>-113.61879189887804</v>
      </c>
      <c r="L37" s="2">
        <f t="shared" si="5"/>
        <v>-140</v>
      </c>
      <c r="M37" s="2">
        <f t="shared" si="6"/>
        <v>-140</v>
      </c>
      <c r="N37" s="2">
        <f t="shared" si="7"/>
        <v>5</v>
      </c>
      <c r="O37" s="2">
        <f t="shared" si="8"/>
        <v>5</v>
      </c>
      <c r="P37" s="2">
        <f>10*LOG10((10^(Calculate[[#This Row],[Rx_echo_us]]/10))-(10^((Masks[[#This Row],[connector_echo]]+Calculate[[#This Row],[Tx_PSD_ds]])/10))*EC_conector_ratio_us)-Calculate[[#This Row],[EC_cancelation_us]]</f>
        <v>-143.47032539791832</v>
      </c>
      <c r="Q37" s="2">
        <f>10*LOG10((10^(Calculate[[#This Row],[Rx_echo_ds]]/10))-(10^((Masks[[#This Row],[connector_echo]]+Calculate[[#This Row],[Tx_PSD_us]])/10))*EC_conector_ratio_ds)-Calculate[[#This Row],[EC_cancelation_ds]]</f>
        <v>-143.47032539791832</v>
      </c>
      <c r="R37" s="2">
        <f>10*LOG10(POWER(10,Calculate[[#This Row],[AFE_noise_us]]/10)+POWER(10,Calculate[[#This Row],[Echo_res_us]]/10))</f>
        <v>-138.38708034075776</v>
      </c>
      <c r="S37" s="2">
        <f>10*LOG10(POWER(10,Calculate[[#This Row],[AFE_noise_ds]]/10)+POWER(10,Calculate[[#This Row],[Echo_res_ds]]/10))</f>
        <v>-138.38708034075776</v>
      </c>
      <c r="T37" s="2">
        <f>Calculate[[#This Row],[Rx_PSD_us]]-Calculate[[#This Row],[Noise_us]]</f>
        <v>28.895832881214218</v>
      </c>
      <c r="U37" s="2">
        <f>Calculate[[#This Row],[Rx_PSD_ds]]-Calculate[[#This Row],[Noise_ds]]</f>
        <v>28.895832881214218</v>
      </c>
      <c r="V37" s="2">
        <f>POWER(10,Calculate[[#This Row],[SNRdB_us]]/10)</f>
        <v>775.50265343712385</v>
      </c>
      <c r="W37" s="2">
        <f>POWER(10,Calculate[[#This Row],[SNRdB_ds]]/10)</f>
        <v>775.50265343712385</v>
      </c>
      <c r="X37" s="2">
        <f>-(0.002*Calculate[[#This Row],[Freq]]/1000000/2.5+0.68*(Calculate[[#This Row],[Freq]]/1000000/2.5)^0.45)</f>
        <v>-13.819267731636135</v>
      </c>
    </row>
    <row r="38" spans="1:24" x14ac:dyDescent="0.25">
      <c r="A38" s="34">
        <f t="shared" si="9"/>
        <v>1665000000</v>
      </c>
      <c r="B38" s="1">
        <f>Calculate[[#This Row],[Freq]]-A37</f>
        <v>45000000</v>
      </c>
      <c r="C38">
        <f>Channels!B38*cable_length</f>
        <v>-11.195914267066911</v>
      </c>
      <c r="D38" s="2">
        <f>Masks!A38</f>
        <v>-98.470325397914564</v>
      </c>
      <c r="E38" s="2">
        <f>Masks!B38</f>
        <v>-98.470325397914564</v>
      </c>
      <c r="F38" s="2">
        <f>Calculate[[#This Row],[Tx_PSD_us]]+Calculate[[#This Row],[IL]]</f>
        <v>-109.66623966498148</v>
      </c>
      <c r="G38" s="2">
        <f>Calculate[[#This Row],[Tx_PSD_ds]]+Calculate[[#This Row],[IL]]</f>
        <v>-109.66623966498148</v>
      </c>
      <c r="H38" s="2">
        <f>Masks[[#This Row],[channel_echo]]</f>
        <v>-15.041089203338124</v>
      </c>
      <c r="I38" s="2">
        <f>Masks[[#This Row],[channel_echo]]</f>
        <v>-15.041089203338124</v>
      </c>
      <c r="J38" s="2">
        <f>Calculate[[#This Row],[Echo_transfer_us]]+Calculate[[#This Row],[Tx_PSD_ds]]</f>
        <v>-113.51141460125268</v>
      </c>
      <c r="K38" s="2">
        <f>Calculate[[#This Row],[Echo_transfer_ds]]+Calculate[[#This Row],[Tx_PSD_us]]</f>
        <v>-113.51141460125268</v>
      </c>
      <c r="L38" s="2">
        <f t="shared" si="5"/>
        <v>-140</v>
      </c>
      <c r="M38" s="2">
        <f t="shared" si="6"/>
        <v>-140</v>
      </c>
      <c r="N38" s="2">
        <f t="shared" si="7"/>
        <v>5</v>
      </c>
      <c r="O38" s="2">
        <f t="shared" si="8"/>
        <v>5</v>
      </c>
      <c r="P38" s="2">
        <f>10*LOG10((10^(Calculate[[#This Row],[Rx_echo_us]]/10))-(10^((Masks[[#This Row],[connector_echo]]+Calculate[[#This Row],[Tx_PSD_ds]])/10))*EC_conector_ratio_us)-Calculate[[#This Row],[EC_cancelation_us]]</f>
        <v>-143.47032539791215</v>
      </c>
      <c r="Q38" s="2">
        <f>10*LOG10((10^(Calculate[[#This Row],[Rx_echo_ds]]/10))-(10^((Masks[[#This Row],[connector_echo]]+Calculate[[#This Row],[Tx_PSD_us]])/10))*EC_conector_ratio_ds)-Calculate[[#This Row],[EC_cancelation_ds]]</f>
        <v>-143.47032539791215</v>
      </c>
      <c r="R38" s="2">
        <f>10*LOG10(POWER(10,Calculate[[#This Row],[AFE_noise_us]]/10)+POWER(10,Calculate[[#This Row],[Echo_res_us]]/10))</f>
        <v>-138.38708034075583</v>
      </c>
      <c r="S38" s="2">
        <f>10*LOG10(POWER(10,Calculate[[#This Row],[AFE_noise_ds]]/10)+POWER(10,Calculate[[#This Row],[Echo_res_ds]]/10))</f>
        <v>-138.38708034075583</v>
      </c>
      <c r="T38" s="2">
        <f>Calculate[[#This Row],[Rx_PSD_us]]-Calculate[[#This Row],[Noise_us]]</f>
        <v>28.720840675774355</v>
      </c>
      <c r="U38" s="2">
        <f>Calculate[[#This Row],[Rx_PSD_ds]]-Calculate[[#This Row],[Noise_ds]]</f>
        <v>28.720840675774355</v>
      </c>
      <c r="V38" s="2">
        <f>POWER(10,Calculate[[#This Row],[SNRdB_us]]/10)</f>
        <v>744.8761476762495</v>
      </c>
      <c r="W38" s="2">
        <f>POWER(10,Calculate[[#This Row],[SNRdB_ds]]/10)</f>
        <v>744.8761476762495</v>
      </c>
      <c r="X38" s="2">
        <f>-(0.002*Calculate[[#This Row],[Freq]]/1000000/2.5+0.68*(Calculate[[#This Row],[Freq]]/1000000/2.5)^0.45)</f>
        <v>-14.010629644026418</v>
      </c>
    </row>
    <row r="39" spans="1:24" x14ac:dyDescent="0.25">
      <c r="A39" s="34">
        <f t="shared" si="9"/>
        <v>1710000000</v>
      </c>
      <c r="B39" s="1">
        <f>Calculate[[#This Row],[Freq]]-A38</f>
        <v>45000000</v>
      </c>
      <c r="C39">
        <f>Channels!B39*cable_length</f>
        <v>-11.369169858270054</v>
      </c>
      <c r="D39" s="2">
        <f>Masks!A39</f>
        <v>-98.470325397914564</v>
      </c>
      <c r="E39" s="2">
        <f>Masks!B39</f>
        <v>-98.470325397914564</v>
      </c>
      <c r="F39" s="2">
        <f>Calculate[[#This Row],[Tx_PSD_us]]+Calculate[[#This Row],[IL]]</f>
        <v>-109.83949525618462</v>
      </c>
      <c r="G39" s="2">
        <f>Calculate[[#This Row],[Tx_PSD_ds]]+Calculate[[#This Row],[IL]]</f>
        <v>-109.83949525618462</v>
      </c>
      <c r="H39" s="2">
        <f>Masks[[#This Row],[channel_echo]]</f>
        <v>-14.936302829044958</v>
      </c>
      <c r="I39" s="2">
        <f>Masks[[#This Row],[channel_echo]]</f>
        <v>-14.936302829044958</v>
      </c>
      <c r="J39" s="2">
        <f>Calculate[[#This Row],[Echo_transfer_us]]+Calculate[[#This Row],[Tx_PSD_ds]]</f>
        <v>-113.40662822695953</v>
      </c>
      <c r="K39" s="2">
        <f>Calculate[[#This Row],[Echo_transfer_ds]]+Calculate[[#This Row],[Tx_PSD_us]]</f>
        <v>-113.40662822695953</v>
      </c>
      <c r="L39" s="2">
        <f t="shared" si="5"/>
        <v>-140</v>
      </c>
      <c r="M39" s="2">
        <f t="shared" si="6"/>
        <v>-140</v>
      </c>
      <c r="N39" s="2">
        <f t="shared" si="7"/>
        <v>5</v>
      </c>
      <c r="O39" s="2">
        <f t="shared" si="8"/>
        <v>5</v>
      </c>
      <c r="P39" s="2">
        <f>10*LOG10((10^(Calculate[[#This Row],[Rx_echo_us]]/10))-(10^((Masks[[#This Row],[connector_echo]]+Calculate[[#This Row],[Tx_PSD_ds]])/10))*EC_conector_ratio_us)-Calculate[[#This Row],[EC_cancelation_us]]</f>
        <v>-143.47032539790942</v>
      </c>
      <c r="Q39" s="2">
        <f>10*LOG10((10^(Calculate[[#This Row],[Rx_echo_ds]]/10))-(10^((Masks[[#This Row],[connector_echo]]+Calculate[[#This Row],[Tx_PSD_us]])/10))*EC_conector_ratio_ds)-Calculate[[#This Row],[EC_cancelation_ds]]</f>
        <v>-143.47032539790942</v>
      </c>
      <c r="R39" s="2">
        <f>10*LOG10(POWER(10,Calculate[[#This Row],[AFE_noise_us]]/10)+POWER(10,Calculate[[#This Row],[Echo_res_us]]/10))</f>
        <v>-138.38708034075498</v>
      </c>
      <c r="S39" s="2">
        <f>10*LOG10(POWER(10,Calculate[[#This Row],[AFE_noise_ds]]/10)+POWER(10,Calculate[[#This Row],[Echo_res_ds]]/10))</f>
        <v>-138.38708034075498</v>
      </c>
      <c r="T39" s="2">
        <f>Calculate[[#This Row],[Rx_PSD_us]]-Calculate[[#This Row],[Noise_us]]</f>
        <v>28.547585084570358</v>
      </c>
      <c r="U39" s="2">
        <f>Calculate[[#This Row],[Rx_PSD_ds]]-Calculate[[#This Row],[Noise_ds]]</f>
        <v>28.547585084570358</v>
      </c>
      <c r="V39" s="2">
        <f>POWER(10,Calculate[[#This Row],[SNRdB_us]]/10)</f>
        <v>715.74530590705933</v>
      </c>
      <c r="W39" s="2">
        <f>POWER(10,Calculate[[#This Row],[SNRdB_ds]]/10)</f>
        <v>715.74530590705933</v>
      </c>
      <c r="X39" s="2">
        <f>-(0.002*Calculate[[#This Row],[Freq]]/1000000/2.5+0.68*(Calculate[[#This Row],[Freq]]/1000000/2.5)^0.45)</f>
        <v>-14.199698849248932</v>
      </c>
    </row>
    <row r="40" spans="1:24" x14ac:dyDescent="0.25">
      <c r="A40" s="34">
        <f t="shared" si="9"/>
        <v>1755000000</v>
      </c>
      <c r="B40" s="1">
        <f>Calculate[[#This Row],[Freq]]-A39</f>
        <v>45000000</v>
      </c>
      <c r="C40">
        <f>Channels!B40*cable_length</f>
        <v>-11.540756952604273</v>
      </c>
      <c r="D40" s="2">
        <f>Masks!A40</f>
        <v>-98.470325397914564</v>
      </c>
      <c r="E40" s="2">
        <f>Masks!B40</f>
        <v>-98.470325397914564</v>
      </c>
      <c r="F40" s="2">
        <f>Calculate[[#This Row],[Tx_PSD_us]]+Calculate[[#This Row],[IL]]</f>
        <v>-110.01108235051883</v>
      </c>
      <c r="G40" s="2">
        <f>Calculate[[#This Row],[Tx_PSD_ds]]+Calculate[[#This Row],[IL]]</f>
        <v>-110.01108235051883</v>
      </c>
      <c r="H40" s="2">
        <f>Masks[[#This Row],[channel_echo]]</f>
        <v>-14.833985284734661</v>
      </c>
      <c r="I40" s="2">
        <f>Masks[[#This Row],[channel_echo]]</f>
        <v>-14.833985284734661</v>
      </c>
      <c r="J40" s="2">
        <f>Calculate[[#This Row],[Echo_transfer_us]]+Calculate[[#This Row],[Tx_PSD_ds]]</f>
        <v>-113.30431068264923</v>
      </c>
      <c r="K40" s="2">
        <f>Calculate[[#This Row],[Echo_transfer_ds]]+Calculate[[#This Row],[Tx_PSD_us]]</f>
        <v>-113.30431068264923</v>
      </c>
      <c r="L40" s="2">
        <f t="shared" si="5"/>
        <v>-140</v>
      </c>
      <c r="M40" s="2">
        <f t="shared" si="6"/>
        <v>-140</v>
      </c>
      <c r="N40" s="2">
        <f t="shared" si="7"/>
        <v>5</v>
      </c>
      <c r="O40" s="2">
        <f t="shared" si="8"/>
        <v>5</v>
      </c>
      <c r="P40" s="2">
        <f>10*LOG10((10^(Calculate[[#This Row],[Rx_echo_us]]/10))-(10^((Masks[[#This Row],[connector_echo]]+Calculate[[#This Row],[Tx_PSD_ds]])/10))*EC_conector_ratio_us)-Calculate[[#This Row],[EC_cancelation_us]]</f>
        <v>-143.47032539792002</v>
      </c>
      <c r="Q40" s="2">
        <f>10*LOG10((10^(Calculate[[#This Row],[Rx_echo_ds]]/10))-(10^((Masks[[#This Row],[connector_echo]]+Calculate[[#This Row],[Tx_PSD_us]])/10))*EC_conector_ratio_ds)-Calculate[[#This Row],[EC_cancelation_ds]]</f>
        <v>-143.47032539792002</v>
      </c>
      <c r="R40" s="2">
        <f>10*LOG10(POWER(10,Calculate[[#This Row],[AFE_noise_us]]/10)+POWER(10,Calculate[[#This Row],[Echo_res_us]]/10))</f>
        <v>-138.38708034075827</v>
      </c>
      <c r="S40" s="2">
        <f>10*LOG10(POWER(10,Calculate[[#This Row],[AFE_noise_ds]]/10)+POWER(10,Calculate[[#This Row],[Echo_res_ds]]/10))</f>
        <v>-138.38708034075827</v>
      </c>
      <c r="T40" s="2">
        <f>Calculate[[#This Row],[Rx_PSD_us]]-Calculate[[#This Row],[Noise_us]]</f>
        <v>28.375997990239441</v>
      </c>
      <c r="U40" s="2">
        <f>Calculate[[#This Row],[Rx_PSD_ds]]-Calculate[[#This Row],[Noise_ds]]</f>
        <v>28.375997990239441</v>
      </c>
      <c r="V40" s="2">
        <f>POWER(10,Calculate[[#This Row],[SNRdB_us]]/10)</f>
        <v>688.01799775267989</v>
      </c>
      <c r="W40" s="2">
        <f>POWER(10,Calculate[[#This Row],[SNRdB_ds]]/10)</f>
        <v>688.01799775267989</v>
      </c>
      <c r="X40" s="2">
        <f>-(0.002*Calculate[[#This Row],[Freq]]/1000000/2.5+0.68*(Calculate[[#This Row],[Freq]]/1000000/2.5)^0.45)</f>
        <v>-14.386568213652412</v>
      </c>
    </row>
    <row r="41" spans="1:24" x14ac:dyDescent="0.25">
      <c r="A41" s="34">
        <f t="shared" si="9"/>
        <v>1800000000</v>
      </c>
      <c r="B41" s="1">
        <f>Calculate[[#This Row],[Freq]]-A40</f>
        <v>45000000</v>
      </c>
      <c r="C41">
        <f>Channels!B41*cable_length</f>
        <v>-11.710739327475716</v>
      </c>
      <c r="D41" s="2">
        <f>Masks!A41</f>
        <v>-98.470325397914564</v>
      </c>
      <c r="E41" s="2">
        <f>Masks!B41</f>
        <v>-98.470325397914564</v>
      </c>
      <c r="F41" s="2">
        <f>Calculate[[#This Row],[Tx_PSD_us]]+Calculate[[#This Row],[IL]]</f>
        <v>-110.18106472539029</v>
      </c>
      <c r="G41" s="2">
        <f>Calculate[[#This Row],[Tx_PSD_ds]]+Calculate[[#This Row],[IL]]</f>
        <v>-110.18106472539029</v>
      </c>
      <c r="H41" s="2">
        <f>Masks[[#This Row],[channel_echo]]</f>
        <v>-14.734022908965478</v>
      </c>
      <c r="I41" s="2">
        <f>Masks[[#This Row],[channel_echo]]</f>
        <v>-14.734022908965478</v>
      </c>
      <c r="J41" s="2">
        <f>Calculate[[#This Row],[Echo_transfer_us]]+Calculate[[#This Row],[Tx_PSD_ds]]</f>
        <v>-113.20434830688004</v>
      </c>
      <c r="K41" s="2">
        <f>Calculate[[#This Row],[Echo_transfer_ds]]+Calculate[[#This Row],[Tx_PSD_us]]</f>
        <v>-113.20434830688004</v>
      </c>
      <c r="L41" s="2">
        <f t="shared" si="5"/>
        <v>-140</v>
      </c>
      <c r="M41" s="2">
        <f t="shared" si="6"/>
        <v>-140</v>
      </c>
      <c r="N41" s="2">
        <f t="shared" si="7"/>
        <v>5</v>
      </c>
      <c r="O41" s="2">
        <f t="shared" si="8"/>
        <v>5</v>
      </c>
      <c r="P41" s="2">
        <f>10*LOG10((10^(Calculate[[#This Row],[Rx_echo_us]]/10))-(10^((Masks[[#This Row],[connector_echo]]+Calculate[[#This Row],[Tx_PSD_ds]])/10))*EC_conector_ratio_us)-Calculate[[#This Row],[EC_cancelation_us]]</f>
        <v>-143.4703253979178</v>
      </c>
      <c r="Q41" s="2">
        <f>10*LOG10((10^(Calculate[[#This Row],[Rx_echo_ds]]/10))-(10^((Masks[[#This Row],[connector_echo]]+Calculate[[#This Row],[Tx_PSD_us]])/10))*EC_conector_ratio_ds)-Calculate[[#This Row],[EC_cancelation_ds]]</f>
        <v>-143.4703253979178</v>
      </c>
      <c r="R41" s="2">
        <f>10*LOG10(POWER(10,Calculate[[#This Row],[AFE_noise_us]]/10)+POWER(10,Calculate[[#This Row],[Echo_res_us]]/10))</f>
        <v>-138.38708034075759</v>
      </c>
      <c r="S41" s="2">
        <f>10*LOG10(POWER(10,Calculate[[#This Row],[AFE_noise_ds]]/10)+POWER(10,Calculate[[#This Row],[Echo_res_ds]]/10))</f>
        <v>-138.38708034075759</v>
      </c>
      <c r="T41" s="2">
        <f>Calculate[[#This Row],[Rx_PSD_us]]-Calculate[[#This Row],[Noise_us]]</f>
        <v>28.206015615367306</v>
      </c>
      <c r="U41" s="2">
        <f>Calculate[[#This Row],[Rx_PSD_ds]]-Calculate[[#This Row],[Noise_ds]]</f>
        <v>28.206015615367306</v>
      </c>
      <c r="V41" s="2">
        <f>POWER(10,Calculate[[#This Row],[SNRdB_us]]/10)</f>
        <v>661.60923941484907</v>
      </c>
      <c r="W41" s="2">
        <f>POWER(10,Calculate[[#This Row],[SNRdB_ds]]/10)</f>
        <v>661.60923941484907</v>
      </c>
      <c r="X41" s="2">
        <f>-(0.002*Calculate[[#This Row],[Freq]]/1000000/2.5+0.68*(Calculate[[#This Row],[Freq]]/1000000/2.5)^0.45)</f>
        <v>-14.571324572336094</v>
      </c>
    </row>
    <row r="42" spans="1:24" x14ac:dyDescent="0.25">
      <c r="A42" s="34">
        <f t="shared" si="9"/>
        <v>1845000000</v>
      </c>
      <c r="B42" s="1">
        <f>Calculate[[#This Row],[Freq]]-A41</f>
        <v>45000000</v>
      </c>
      <c r="C42">
        <f>Channels!B42*cable_length</f>
        <v>-11.879176797855802</v>
      </c>
      <c r="D42" s="2">
        <f>Masks!A42</f>
        <v>-98.470325397914564</v>
      </c>
      <c r="E42" s="2">
        <f>Masks!B42</f>
        <v>-98.470325397914564</v>
      </c>
      <c r="F42" s="2">
        <f>Calculate[[#This Row],[Tx_PSD_us]]+Calculate[[#This Row],[IL]]</f>
        <v>-110.34950219577037</v>
      </c>
      <c r="G42" s="2">
        <f>Calculate[[#This Row],[Tx_PSD_ds]]+Calculate[[#This Row],[IL]]</f>
        <v>-110.34950219577037</v>
      </c>
      <c r="H42" s="2">
        <f>Masks[[#This Row],[channel_echo]]</f>
        <v>-14.636309713219589</v>
      </c>
      <c r="I42" s="2">
        <f>Masks[[#This Row],[channel_echo]]</f>
        <v>-14.636309713219589</v>
      </c>
      <c r="J42" s="2">
        <f>Calculate[[#This Row],[Echo_transfer_us]]+Calculate[[#This Row],[Tx_PSD_ds]]</f>
        <v>-113.10663511113415</v>
      </c>
      <c r="K42" s="2">
        <f>Calculate[[#This Row],[Echo_transfer_ds]]+Calculate[[#This Row],[Tx_PSD_us]]</f>
        <v>-113.10663511113415</v>
      </c>
      <c r="L42" s="2">
        <f t="shared" si="5"/>
        <v>-140</v>
      </c>
      <c r="M42" s="2">
        <f t="shared" si="6"/>
        <v>-140</v>
      </c>
      <c r="N42" s="2">
        <f t="shared" si="7"/>
        <v>5</v>
      </c>
      <c r="O42" s="2">
        <f t="shared" si="8"/>
        <v>5</v>
      </c>
      <c r="P42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42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42" s="2">
        <f>10*LOG10(POWER(10,Calculate[[#This Row],[AFE_noise_us]]/10)+POWER(10,Calculate[[#This Row],[Echo_res_us]]/10))</f>
        <v>-138.38708034075592</v>
      </c>
      <c r="S42" s="2">
        <f>10*LOG10(POWER(10,Calculate[[#This Row],[AFE_noise_ds]]/10)+POWER(10,Calculate[[#This Row],[Echo_res_ds]]/10))</f>
        <v>-138.38708034075592</v>
      </c>
      <c r="T42" s="2">
        <f>Calculate[[#This Row],[Rx_PSD_us]]-Calculate[[#This Row],[Noise_us]]</f>
        <v>28.037578144985545</v>
      </c>
      <c r="U42" s="2">
        <f>Calculate[[#This Row],[Rx_PSD_ds]]-Calculate[[#This Row],[Noise_ds]]</f>
        <v>28.037578144985545</v>
      </c>
      <c r="V42" s="2">
        <f>POWER(10,Calculate[[#This Row],[SNRdB_us]]/10)</f>
        <v>636.44050914601792</v>
      </c>
      <c r="W42" s="2">
        <f>POWER(10,Calculate[[#This Row],[SNRdB_ds]]/10)</f>
        <v>636.44050914601792</v>
      </c>
      <c r="X42" s="2">
        <f>-(0.002*Calculate[[#This Row],[Freq]]/1000000/2.5+0.68*(Calculate[[#This Row],[Freq]]/1000000/2.5)^0.45)</f>
        <v>-14.754049260956997</v>
      </c>
    </row>
    <row r="43" spans="1:24" x14ac:dyDescent="0.25">
      <c r="A43" s="34">
        <f t="shared" si="9"/>
        <v>1890000000</v>
      </c>
      <c r="B43" s="1">
        <f>Calculate[[#This Row],[Freq]]-A42</f>
        <v>45000000</v>
      </c>
      <c r="C43">
        <f>Channels!B43*cable_length</f>
        <v>-12.046125552604051</v>
      </c>
      <c r="D43" s="2">
        <f>Masks!A43</f>
        <v>-98.470325397914564</v>
      </c>
      <c r="E43" s="2">
        <f>Masks!B43</f>
        <v>-98.470325397914564</v>
      </c>
      <c r="F43" s="2">
        <f>Calculate[[#This Row],[Tx_PSD_us]]+Calculate[[#This Row],[IL]]</f>
        <v>-110.51645095051862</v>
      </c>
      <c r="G43" s="2">
        <f>Calculate[[#This Row],[Tx_PSD_ds]]+Calculate[[#This Row],[IL]]</f>
        <v>-110.51645095051862</v>
      </c>
      <c r="H43" s="2">
        <f>Masks[[#This Row],[channel_echo]]</f>
        <v>-14.540746706441572</v>
      </c>
      <c r="I43" s="2">
        <f>Masks[[#This Row],[channel_echo]]</f>
        <v>-14.540746706441572</v>
      </c>
      <c r="J43" s="2">
        <f>Calculate[[#This Row],[Echo_transfer_us]]+Calculate[[#This Row],[Tx_PSD_ds]]</f>
        <v>-113.01107210435613</v>
      </c>
      <c r="K43" s="2">
        <f>Calculate[[#This Row],[Echo_transfer_ds]]+Calculate[[#This Row],[Tx_PSD_us]]</f>
        <v>-113.01107210435613</v>
      </c>
      <c r="L43" s="2">
        <f t="shared" si="5"/>
        <v>-140</v>
      </c>
      <c r="M43" s="2">
        <f t="shared" si="6"/>
        <v>-140</v>
      </c>
      <c r="N43" s="2">
        <f t="shared" si="7"/>
        <v>5</v>
      </c>
      <c r="O43" s="2">
        <f t="shared" si="8"/>
        <v>5</v>
      </c>
      <c r="P43" s="2">
        <f>10*LOG10((10^(Calculate[[#This Row],[Rx_echo_us]]/10))-(10^((Masks[[#This Row],[connector_echo]]+Calculate[[#This Row],[Tx_PSD_ds]])/10))*EC_conector_ratio_us)-Calculate[[#This Row],[EC_cancelation_us]]</f>
        <v>-143.47032539791584</v>
      </c>
      <c r="Q43" s="2">
        <f>10*LOG10((10^(Calculate[[#This Row],[Rx_echo_ds]]/10))-(10^((Masks[[#This Row],[connector_echo]]+Calculate[[#This Row],[Tx_PSD_us]])/10))*EC_conector_ratio_ds)-Calculate[[#This Row],[EC_cancelation_ds]]</f>
        <v>-143.47032539791584</v>
      </c>
      <c r="R43" s="2">
        <f>10*LOG10(POWER(10,Calculate[[#This Row],[AFE_noise_us]]/10)+POWER(10,Calculate[[#This Row],[Echo_res_us]]/10))</f>
        <v>-138.38708034075697</v>
      </c>
      <c r="S43" s="2">
        <f>10*LOG10(POWER(10,Calculate[[#This Row],[AFE_noise_ds]]/10)+POWER(10,Calculate[[#This Row],[Echo_res_ds]]/10))</f>
        <v>-138.38708034075697</v>
      </c>
      <c r="T43" s="2">
        <f>Calculate[[#This Row],[Rx_PSD_us]]-Calculate[[#This Row],[Noise_us]]</f>
        <v>27.870629390238349</v>
      </c>
      <c r="U43" s="2">
        <f>Calculate[[#This Row],[Rx_PSD_ds]]-Calculate[[#This Row],[Noise_ds]]</f>
        <v>27.870629390238349</v>
      </c>
      <c r="V43" s="2">
        <f>POWER(10,Calculate[[#This Row],[SNRdB_us]]/10)</f>
        <v>612.43914147949147</v>
      </c>
      <c r="W43" s="2">
        <f>POWER(10,Calculate[[#This Row],[SNRdB_ds]]/10)</f>
        <v>612.43914147949147</v>
      </c>
      <c r="X43" s="2">
        <f>-(0.002*Calculate[[#This Row],[Freq]]/1000000/2.5+0.68*(Calculate[[#This Row],[Freq]]/1000000/2.5)^0.45)</f>
        <v>-14.934818588888355</v>
      </c>
    </row>
    <row r="44" spans="1:24" x14ac:dyDescent="0.25">
      <c r="A44" s="34">
        <f t="shared" si="9"/>
        <v>1935000000</v>
      </c>
      <c r="B44" s="1">
        <f>Calculate[[#This Row],[Freq]]-A43</f>
        <v>45000000</v>
      </c>
      <c r="C44">
        <f>Channels!B44*cable_length</f>
        <v>-12.211638454954921</v>
      </c>
      <c r="D44" s="2">
        <f>Masks!A44</f>
        <v>-98.470325397914564</v>
      </c>
      <c r="E44" s="2">
        <f>Masks!B44</f>
        <v>-98.470325397914564</v>
      </c>
      <c r="F44" s="2">
        <f>Calculate[[#This Row],[Tx_PSD_us]]+Calculate[[#This Row],[IL]]</f>
        <v>-110.68196385286949</v>
      </c>
      <c r="G44" s="2">
        <f>Calculate[[#This Row],[Tx_PSD_ds]]+Calculate[[#This Row],[IL]]</f>
        <v>-110.68196385286949</v>
      </c>
      <c r="H44" s="2">
        <f>Masks[[#This Row],[channel_echo]]</f>
        <v>-14.447241292306822</v>
      </c>
      <c r="I44" s="2">
        <f>Masks[[#This Row],[channel_echo]]</f>
        <v>-14.447241292306822</v>
      </c>
      <c r="J44" s="2">
        <f>Calculate[[#This Row],[Echo_transfer_us]]+Calculate[[#This Row],[Tx_PSD_ds]]</f>
        <v>-112.91756669022139</v>
      </c>
      <c r="K44" s="2">
        <f>Calculate[[#This Row],[Echo_transfer_ds]]+Calculate[[#This Row],[Tx_PSD_us]]</f>
        <v>-112.91756669022139</v>
      </c>
      <c r="L44" s="2">
        <f t="shared" si="5"/>
        <v>-140</v>
      </c>
      <c r="M44" s="2">
        <f t="shared" si="6"/>
        <v>-140</v>
      </c>
      <c r="N44" s="2">
        <f t="shared" si="7"/>
        <v>5</v>
      </c>
      <c r="O44" s="2">
        <f t="shared" si="8"/>
        <v>5</v>
      </c>
      <c r="P44" s="2">
        <f>10*LOG10((10^(Calculate[[#This Row],[Rx_echo_us]]/10))-(10^((Masks[[#This Row],[connector_echo]]+Calculate[[#This Row],[Tx_PSD_ds]])/10))*EC_conector_ratio_us)-Calculate[[#This Row],[EC_cancelation_us]]</f>
        <v>-143.47032539791979</v>
      </c>
      <c r="Q44" s="2">
        <f>10*LOG10((10^(Calculate[[#This Row],[Rx_echo_ds]]/10))-(10^((Masks[[#This Row],[connector_echo]]+Calculate[[#This Row],[Tx_PSD_us]])/10))*EC_conector_ratio_ds)-Calculate[[#This Row],[EC_cancelation_ds]]</f>
        <v>-143.47032539791979</v>
      </c>
      <c r="R44" s="2">
        <f>10*LOG10(POWER(10,Calculate[[#This Row],[AFE_noise_us]]/10)+POWER(10,Calculate[[#This Row],[Echo_res_us]]/10))</f>
        <v>-138.38708034075819</v>
      </c>
      <c r="S44" s="2">
        <f>10*LOG10(POWER(10,Calculate[[#This Row],[AFE_noise_ds]]/10)+POWER(10,Calculate[[#This Row],[Echo_res_ds]]/10))</f>
        <v>-138.38708034075819</v>
      </c>
      <c r="T44" s="2">
        <f>Calculate[[#This Row],[Rx_PSD_us]]-Calculate[[#This Row],[Noise_us]]</f>
        <v>27.705116487888702</v>
      </c>
      <c r="U44" s="2">
        <f>Calculate[[#This Row],[Rx_PSD_ds]]-Calculate[[#This Row],[Noise_ds]]</f>
        <v>27.705116487888702</v>
      </c>
      <c r="V44" s="2">
        <f>POWER(10,Calculate[[#This Row],[SNRdB_us]]/10)</f>
        <v>589.53778962915396</v>
      </c>
      <c r="W44" s="2">
        <f>POWER(10,Calculate[[#This Row],[SNRdB_ds]]/10)</f>
        <v>589.53778962915396</v>
      </c>
      <c r="X44" s="2">
        <f>-(0.002*Calculate[[#This Row],[Freq]]/1000000/2.5+0.68*(Calculate[[#This Row],[Freq]]/1000000/2.5)^0.45)</f>
        <v>-15.113704261432359</v>
      </c>
    </row>
    <row r="45" spans="1:24" x14ac:dyDescent="0.25">
      <c r="A45" s="34">
        <f t="shared" si="9"/>
        <v>1980000000</v>
      </c>
      <c r="B45" s="1">
        <f>Calculate[[#This Row],[Freq]]-A44</f>
        <v>45000000</v>
      </c>
      <c r="C45">
        <f>Channels!B45*cable_length</f>
        <v>-12.375765311727999</v>
      </c>
      <c r="D45" s="2">
        <f>Masks!A45</f>
        <v>-98.470325397914564</v>
      </c>
      <c r="E45" s="2">
        <f>Masks!B45</f>
        <v>-98.470325397914564</v>
      </c>
      <c r="F45" s="2">
        <f>Calculate[[#This Row],[Tx_PSD_us]]+Calculate[[#This Row],[IL]]</f>
        <v>-110.84609070964257</v>
      </c>
      <c r="G45" s="2">
        <f>Calculate[[#This Row],[Tx_PSD_ds]]+Calculate[[#This Row],[IL]]</f>
        <v>-110.84609070964257</v>
      </c>
      <c r="H45" s="2">
        <f>Masks[[#This Row],[channel_echo]]</f>
        <v>-14.355706730020168</v>
      </c>
      <c r="I45" s="2">
        <f>Masks[[#This Row],[channel_echo]]</f>
        <v>-14.355706730020168</v>
      </c>
      <c r="J45" s="2">
        <f>Calculate[[#This Row],[Echo_transfer_us]]+Calculate[[#This Row],[Tx_PSD_ds]]</f>
        <v>-112.82603212793474</v>
      </c>
      <c r="K45" s="2">
        <f>Calculate[[#This Row],[Echo_transfer_ds]]+Calculate[[#This Row],[Tx_PSD_us]]</f>
        <v>-112.82603212793474</v>
      </c>
      <c r="L45" s="2">
        <f t="shared" si="5"/>
        <v>-140</v>
      </c>
      <c r="M45" s="2">
        <f t="shared" si="6"/>
        <v>-140</v>
      </c>
      <c r="N45" s="2">
        <f t="shared" si="7"/>
        <v>5</v>
      </c>
      <c r="O45" s="2">
        <f t="shared" si="8"/>
        <v>5</v>
      </c>
      <c r="P45" s="2">
        <f>10*LOG10((10^(Calculate[[#This Row],[Rx_echo_us]]/10))-(10^((Masks[[#This Row],[connector_echo]]+Calculate[[#This Row],[Tx_PSD_ds]])/10))*EC_conector_ratio_us)-Calculate[[#This Row],[EC_cancelation_us]]</f>
        <v>-143.4703253979151</v>
      </c>
      <c r="Q45" s="2">
        <f>10*LOG10((10^(Calculate[[#This Row],[Rx_echo_ds]]/10))-(10^((Masks[[#This Row],[connector_echo]]+Calculate[[#This Row],[Tx_PSD_us]])/10))*EC_conector_ratio_ds)-Calculate[[#This Row],[EC_cancelation_ds]]</f>
        <v>-143.4703253979151</v>
      </c>
      <c r="R45" s="2">
        <f>10*LOG10(POWER(10,Calculate[[#This Row],[AFE_noise_us]]/10)+POWER(10,Calculate[[#This Row],[Echo_res_us]]/10))</f>
        <v>-138.38708034075674</v>
      </c>
      <c r="S45" s="2">
        <f>10*LOG10(POWER(10,Calculate[[#This Row],[AFE_noise_ds]]/10)+POWER(10,Calculate[[#This Row],[Echo_res_ds]]/10))</f>
        <v>-138.38708034075674</v>
      </c>
      <c r="T45" s="2">
        <f>Calculate[[#This Row],[Rx_PSD_us]]-Calculate[[#This Row],[Noise_us]]</f>
        <v>27.540989631114172</v>
      </c>
      <c r="U45" s="2">
        <f>Calculate[[#This Row],[Rx_PSD_ds]]-Calculate[[#This Row],[Noise_ds]]</f>
        <v>27.540989631114172</v>
      </c>
      <c r="V45" s="2">
        <f>POWER(10,Calculate[[#This Row],[SNRdB_us]]/10)</f>
        <v>567.67394709292228</v>
      </c>
      <c r="W45" s="2">
        <f>POWER(10,Calculate[[#This Row],[SNRdB_ds]]/10)</f>
        <v>567.67394709292228</v>
      </c>
      <c r="X45" s="2">
        <f>-(0.002*Calculate[[#This Row],[Freq]]/1000000/2.5+0.68*(Calculate[[#This Row],[Freq]]/1000000/2.5)^0.45)</f>
        <v>-15.290773757624041</v>
      </c>
    </row>
    <row r="46" spans="1:24" x14ac:dyDescent="0.25">
      <c r="A46" s="34">
        <f t="shared" si="9"/>
        <v>2025000000</v>
      </c>
      <c r="B46" s="1">
        <f>Calculate[[#This Row],[Freq]]-A45</f>
        <v>45000000</v>
      </c>
      <c r="C46">
        <f>Channels!B46*cable_length</f>
        <v>-12.538553115150709</v>
      </c>
      <c r="D46" s="2">
        <f>Masks!A46</f>
        <v>-98.470325397914564</v>
      </c>
      <c r="E46" s="2">
        <f>Masks!B46</f>
        <v>-98.470325397914564</v>
      </c>
      <c r="F46" s="2">
        <f>Calculate[[#This Row],[Tx_PSD_us]]+Calculate[[#This Row],[IL]]</f>
        <v>-111.00887851306527</v>
      </c>
      <c r="G46" s="2">
        <f>Calculate[[#This Row],[Tx_PSD_ds]]+Calculate[[#This Row],[IL]]</f>
        <v>-111.00887851306527</v>
      </c>
      <c r="H46" s="2">
        <f>Masks[[#This Row],[channel_echo]]</f>
        <v>-14.266061650774793</v>
      </c>
      <c r="I46" s="2">
        <f>Masks[[#This Row],[channel_echo]]</f>
        <v>-14.266061650774793</v>
      </c>
      <c r="J46" s="2">
        <f>Calculate[[#This Row],[Echo_transfer_us]]+Calculate[[#This Row],[Tx_PSD_ds]]</f>
        <v>-112.73638704868935</v>
      </c>
      <c r="K46" s="2">
        <f>Calculate[[#This Row],[Echo_transfer_ds]]+Calculate[[#This Row],[Tx_PSD_us]]</f>
        <v>-112.73638704868935</v>
      </c>
      <c r="L46" s="2">
        <f t="shared" si="5"/>
        <v>-140</v>
      </c>
      <c r="M46" s="2">
        <f t="shared" si="6"/>
        <v>-140</v>
      </c>
      <c r="N46" s="2">
        <f t="shared" si="7"/>
        <v>5</v>
      </c>
      <c r="O46" s="2">
        <f t="shared" si="8"/>
        <v>5</v>
      </c>
      <c r="P46" s="2">
        <f>10*LOG10((10^(Calculate[[#This Row],[Rx_echo_us]]/10))-(10^((Masks[[#This Row],[connector_echo]]+Calculate[[#This Row],[Tx_PSD_ds]])/10))*EC_conector_ratio_us)-Calculate[[#This Row],[EC_cancelation_us]]</f>
        <v>-143.47032539790843</v>
      </c>
      <c r="Q46" s="2">
        <f>10*LOG10((10^(Calculate[[#This Row],[Rx_echo_ds]]/10))-(10^((Masks[[#This Row],[connector_echo]]+Calculate[[#This Row],[Tx_PSD_us]])/10))*EC_conector_ratio_ds)-Calculate[[#This Row],[EC_cancelation_ds]]</f>
        <v>-143.47032539790843</v>
      </c>
      <c r="R46" s="2">
        <f>10*LOG10(POWER(10,Calculate[[#This Row],[AFE_noise_us]]/10)+POWER(10,Calculate[[#This Row],[Echo_res_us]]/10))</f>
        <v>-138.38708034075469</v>
      </c>
      <c r="S46" s="2">
        <f>10*LOG10(POWER(10,Calculate[[#This Row],[AFE_noise_ds]]/10)+POWER(10,Calculate[[#This Row],[Echo_res_ds]]/10))</f>
        <v>-138.38708034075469</v>
      </c>
      <c r="T46" s="2">
        <f>Calculate[[#This Row],[Rx_PSD_us]]-Calculate[[#This Row],[Noise_us]]</f>
        <v>27.378201827689423</v>
      </c>
      <c r="U46" s="2">
        <f>Calculate[[#This Row],[Rx_PSD_ds]]-Calculate[[#This Row],[Noise_ds]]</f>
        <v>27.378201827689423</v>
      </c>
      <c r="V46" s="2">
        <f>POWER(10,Calculate[[#This Row],[SNRdB_us]]/10)</f>
        <v>546.78952083819377</v>
      </c>
      <c r="W46" s="2">
        <f>POWER(10,Calculate[[#This Row],[SNRdB_ds]]/10)</f>
        <v>546.78952083819377</v>
      </c>
      <c r="X46" s="2">
        <f>-(0.002*Calculate[[#This Row],[Freq]]/1000000/2.5+0.68*(Calculate[[#This Row],[Freq]]/1000000/2.5)^0.45)</f>
        <v>-15.466090669195415</v>
      </c>
    </row>
    <row r="47" spans="1:24" x14ac:dyDescent="0.25">
      <c r="A47" s="34">
        <f t="shared" si="9"/>
        <v>2070000000</v>
      </c>
      <c r="B47" s="1">
        <f>Calculate[[#This Row],[Freq]]-A46</f>
        <v>45000000</v>
      </c>
      <c r="C47">
        <f>Channels!B47*cable_length</f>
        <v>-12.700046260623886</v>
      </c>
      <c r="D47" s="2">
        <f>Masks!A47</f>
        <v>-98.470325397914564</v>
      </c>
      <c r="E47" s="2">
        <f>Masks!B47</f>
        <v>-98.470325397914564</v>
      </c>
      <c r="F47" s="2">
        <f>Calculate[[#This Row],[Tx_PSD_us]]+Calculate[[#This Row],[IL]]</f>
        <v>-111.17037165853844</v>
      </c>
      <c r="G47" s="2">
        <f>Calculate[[#This Row],[Tx_PSD_ds]]+Calculate[[#This Row],[IL]]</f>
        <v>-111.17037165853844</v>
      </c>
      <c r="H47" s="2">
        <f>Masks[[#This Row],[channel_echo]]</f>
        <v>-14.178229623115913</v>
      </c>
      <c r="I47" s="2">
        <f>Masks[[#This Row],[channel_echo]]</f>
        <v>-14.178229623115913</v>
      </c>
      <c r="J47" s="2">
        <f>Calculate[[#This Row],[Echo_transfer_us]]+Calculate[[#This Row],[Tx_PSD_ds]]</f>
        <v>-112.64855502103048</v>
      </c>
      <c r="K47" s="2">
        <f>Calculate[[#This Row],[Echo_transfer_ds]]+Calculate[[#This Row],[Tx_PSD_us]]</f>
        <v>-112.64855502103048</v>
      </c>
      <c r="L47" s="2">
        <f t="shared" si="5"/>
        <v>-140</v>
      </c>
      <c r="M47" s="2">
        <f t="shared" si="6"/>
        <v>-140</v>
      </c>
      <c r="N47" s="2">
        <f t="shared" si="7"/>
        <v>5</v>
      </c>
      <c r="O47" s="2">
        <f t="shared" si="8"/>
        <v>5</v>
      </c>
      <c r="P47" s="2">
        <f>10*LOG10((10^(Calculate[[#This Row],[Rx_echo_us]]/10))-(10^((Masks[[#This Row],[connector_echo]]+Calculate[[#This Row],[Tx_PSD_ds]])/10))*EC_conector_ratio_us)-Calculate[[#This Row],[EC_cancelation_us]]</f>
        <v>-143.47032539791189</v>
      </c>
      <c r="Q47" s="2">
        <f>10*LOG10((10^(Calculate[[#This Row],[Rx_echo_ds]]/10))-(10^((Masks[[#This Row],[connector_echo]]+Calculate[[#This Row],[Tx_PSD_us]])/10))*EC_conector_ratio_ds)-Calculate[[#This Row],[EC_cancelation_ds]]</f>
        <v>-143.47032539791189</v>
      </c>
      <c r="R47" s="2">
        <f>10*LOG10(POWER(10,Calculate[[#This Row],[AFE_noise_us]]/10)+POWER(10,Calculate[[#This Row],[Echo_res_us]]/10))</f>
        <v>-138.38708034075574</v>
      </c>
      <c r="S47" s="2">
        <f>10*LOG10(POWER(10,Calculate[[#This Row],[AFE_noise_ds]]/10)+POWER(10,Calculate[[#This Row],[Echo_res_ds]]/10))</f>
        <v>-138.38708034075574</v>
      </c>
      <c r="T47" s="2">
        <f>Calculate[[#This Row],[Rx_PSD_us]]-Calculate[[#This Row],[Noise_us]]</f>
        <v>27.216708682217302</v>
      </c>
      <c r="U47" s="2">
        <f>Calculate[[#This Row],[Rx_PSD_ds]]-Calculate[[#This Row],[Noise_ds]]</f>
        <v>27.216708682217302</v>
      </c>
      <c r="V47" s="2">
        <f>POWER(10,Calculate[[#This Row],[SNRdB_us]]/10)</f>
        <v>526.83044956933168</v>
      </c>
      <c r="W47" s="2">
        <f>POWER(10,Calculate[[#This Row],[SNRdB_ds]]/10)</f>
        <v>526.83044956933168</v>
      </c>
      <c r="X47" s="2">
        <f>-(0.002*Calculate[[#This Row],[Freq]]/1000000/2.5+0.68*(Calculate[[#This Row],[Freq]]/1000000/2.5)^0.45)</f>
        <v>-15.639715005463005</v>
      </c>
    </row>
    <row r="48" spans="1:24" x14ac:dyDescent="0.25">
      <c r="A48" s="34">
        <f t="shared" si="9"/>
        <v>2115000000</v>
      </c>
      <c r="B48" s="1">
        <f>Calculate[[#This Row],[Freq]]-A47</f>
        <v>45000000</v>
      </c>
      <c r="C48">
        <f>Channels!B48*cable_length</f>
        <v>-12.860286743292132</v>
      </c>
      <c r="D48" s="2">
        <f>Masks!A48</f>
        <v>-98.470325397914564</v>
      </c>
      <c r="E48" s="2">
        <f>Masks!B48</f>
        <v>-98.470325397914564</v>
      </c>
      <c r="F48" s="2">
        <f>Calculate[[#This Row],[Tx_PSD_us]]+Calculate[[#This Row],[IL]]</f>
        <v>-111.3306121412067</v>
      </c>
      <c r="G48" s="2">
        <f>Calculate[[#This Row],[Tx_PSD_ds]]+Calculate[[#This Row],[IL]]</f>
        <v>-111.3306121412067</v>
      </c>
      <c r="H48" s="2">
        <f>Masks[[#This Row],[channel_echo]]</f>
        <v>-14.092138761391208</v>
      </c>
      <c r="I48" s="2">
        <f>Masks[[#This Row],[channel_echo]]</f>
        <v>-14.092138761391208</v>
      </c>
      <c r="J48" s="2">
        <f>Calculate[[#This Row],[Echo_transfer_us]]+Calculate[[#This Row],[Tx_PSD_ds]]</f>
        <v>-112.56246415930578</v>
      </c>
      <c r="K48" s="2">
        <f>Calculate[[#This Row],[Echo_transfer_ds]]+Calculate[[#This Row],[Tx_PSD_us]]</f>
        <v>-112.56246415930578</v>
      </c>
      <c r="L48" s="2">
        <f t="shared" si="5"/>
        <v>-140</v>
      </c>
      <c r="M48" s="2">
        <f t="shared" si="6"/>
        <v>-140</v>
      </c>
      <c r="N48" s="2">
        <f t="shared" si="7"/>
        <v>5</v>
      </c>
      <c r="O48" s="2">
        <f t="shared" si="8"/>
        <v>5</v>
      </c>
      <c r="P48" s="2">
        <f>10*LOG10((10^(Calculate[[#This Row],[Rx_echo_us]]/10))-(10^((Masks[[#This Row],[connector_echo]]+Calculate[[#This Row],[Tx_PSD_ds]])/10))*EC_conector_ratio_us)-Calculate[[#This Row],[EC_cancelation_us]]</f>
        <v>-143.47032539792028</v>
      </c>
      <c r="Q48" s="2">
        <f>10*LOG10((10^(Calculate[[#This Row],[Rx_echo_ds]]/10))-(10^((Masks[[#This Row],[connector_echo]]+Calculate[[#This Row],[Tx_PSD_us]])/10))*EC_conector_ratio_ds)-Calculate[[#This Row],[EC_cancelation_ds]]</f>
        <v>-143.47032539792028</v>
      </c>
      <c r="R48" s="2">
        <f>10*LOG10(POWER(10,Calculate[[#This Row],[AFE_noise_us]]/10)+POWER(10,Calculate[[#This Row],[Echo_res_us]]/10))</f>
        <v>-138.38708034075836</v>
      </c>
      <c r="S48" s="2">
        <f>10*LOG10(POWER(10,Calculate[[#This Row],[AFE_noise_ds]]/10)+POWER(10,Calculate[[#This Row],[Echo_res_ds]]/10))</f>
        <v>-138.38708034075836</v>
      </c>
      <c r="T48" s="2">
        <f>Calculate[[#This Row],[Rx_PSD_us]]-Calculate[[#This Row],[Noise_us]]</f>
        <v>27.056468199551659</v>
      </c>
      <c r="U48" s="2">
        <f>Calculate[[#This Row],[Rx_PSD_ds]]-Calculate[[#This Row],[Noise_ds]]</f>
        <v>27.056468199551659</v>
      </c>
      <c r="V48" s="2">
        <f>POWER(10,Calculate[[#This Row],[SNRdB_us]]/10)</f>
        <v>507.74636151462596</v>
      </c>
      <c r="W48" s="2">
        <f>POWER(10,Calculate[[#This Row],[SNRdB_ds]]/10)</f>
        <v>507.74636151462596</v>
      </c>
      <c r="X48" s="2">
        <f>-(0.002*Calculate[[#This Row],[Freq]]/1000000/2.5+0.68*(Calculate[[#This Row],[Freq]]/1000000/2.5)^0.45)</f>
        <v>-15.811703468227313</v>
      </c>
    </row>
    <row r="49" spans="1:24" x14ac:dyDescent="0.25">
      <c r="A49" s="34">
        <f t="shared" si="9"/>
        <v>2160000000</v>
      </c>
      <c r="B49" s="1">
        <f>Calculate[[#This Row],[Freq]]-A48</f>
        <v>45000000</v>
      </c>
      <c r="C49">
        <f>Channels!B49*cable_length</f>
        <v>-13.019314335887149</v>
      </c>
      <c r="D49" s="2">
        <f>Masks!A49</f>
        <v>-98.470325397914564</v>
      </c>
      <c r="E49" s="2">
        <f>Masks!B49</f>
        <v>-98.470325397914564</v>
      </c>
      <c r="F49" s="2">
        <f>Calculate[[#This Row],[Tx_PSD_us]]+Calculate[[#This Row],[IL]]</f>
        <v>-111.48963973380171</v>
      </c>
      <c r="G49" s="2">
        <f>Calculate[[#This Row],[Tx_PSD_ds]]+Calculate[[#This Row],[IL]]</f>
        <v>-111.48963973380171</v>
      </c>
      <c r="H49" s="2">
        <f>Masks[[#This Row],[channel_echo]]</f>
        <v>-14.007721372262038</v>
      </c>
      <c r="I49" s="2">
        <f>Masks[[#This Row],[channel_echo]]</f>
        <v>-14.007721372262038</v>
      </c>
      <c r="J49" s="2">
        <f>Calculate[[#This Row],[Echo_transfer_us]]+Calculate[[#This Row],[Tx_PSD_ds]]</f>
        <v>-112.4780467701766</v>
      </c>
      <c r="K49" s="2">
        <f>Calculate[[#This Row],[Echo_transfer_ds]]+Calculate[[#This Row],[Tx_PSD_us]]</f>
        <v>-112.4780467701766</v>
      </c>
      <c r="L49" s="2">
        <f t="shared" si="5"/>
        <v>-140</v>
      </c>
      <c r="M49" s="2">
        <f t="shared" si="6"/>
        <v>-140</v>
      </c>
      <c r="N49" s="2">
        <f t="shared" si="7"/>
        <v>5</v>
      </c>
      <c r="O49" s="2">
        <f t="shared" si="8"/>
        <v>5</v>
      </c>
      <c r="P49" s="2">
        <f>10*LOG10((10^(Calculate[[#This Row],[Rx_echo_us]]/10))-(10^((Masks[[#This Row],[connector_echo]]+Calculate[[#This Row],[Tx_PSD_ds]])/10))*EC_conector_ratio_us)-Calculate[[#This Row],[EC_cancelation_us]]</f>
        <v>-143.47032539791806</v>
      </c>
      <c r="Q49" s="2">
        <f>10*LOG10((10^(Calculate[[#This Row],[Rx_echo_ds]]/10))-(10^((Masks[[#This Row],[connector_echo]]+Calculate[[#This Row],[Tx_PSD_us]])/10))*EC_conector_ratio_ds)-Calculate[[#This Row],[EC_cancelation_ds]]</f>
        <v>-143.47032539791806</v>
      </c>
      <c r="R49" s="2">
        <f>10*LOG10(POWER(10,Calculate[[#This Row],[AFE_noise_us]]/10)+POWER(10,Calculate[[#This Row],[Echo_res_us]]/10))</f>
        <v>-138.38708034075768</v>
      </c>
      <c r="S49" s="2">
        <f>10*LOG10(POWER(10,Calculate[[#This Row],[AFE_noise_ds]]/10)+POWER(10,Calculate[[#This Row],[Echo_res_ds]]/10))</f>
        <v>-138.38708034075768</v>
      </c>
      <c r="T49" s="2">
        <f>Calculate[[#This Row],[Rx_PSD_us]]-Calculate[[#This Row],[Noise_us]]</f>
        <v>26.897440606955968</v>
      </c>
      <c r="U49" s="2">
        <f>Calculate[[#This Row],[Rx_PSD_ds]]-Calculate[[#This Row],[Noise_ds]]</f>
        <v>26.897440606955968</v>
      </c>
      <c r="V49" s="2">
        <f>POWER(10,Calculate[[#This Row],[SNRdB_us]]/10)</f>
        <v>489.49026695531751</v>
      </c>
      <c r="W49" s="2">
        <f>POWER(10,Calculate[[#This Row],[SNRdB_ds]]/10)</f>
        <v>489.49026695531751</v>
      </c>
      <c r="X49" s="2">
        <f>-(0.002*Calculate[[#This Row],[Freq]]/1000000/2.5+0.68*(Calculate[[#This Row],[Freq]]/1000000/2.5)^0.45)</f>
        <v>-15.982109700206207</v>
      </c>
    </row>
    <row r="50" spans="1:24" x14ac:dyDescent="0.25">
      <c r="A50" s="34">
        <f t="shared" si="9"/>
        <v>2205000000</v>
      </c>
      <c r="B50" s="1">
        <f>Calculate[[#This Row],[Freq]]-A49</f>
        <v>45000000</v>
      </c>
      <c r="C50">
        <f>Channels!B50*cable_length</f>
        <v>-13.177166749979506</v>
      </c>
      <c r="D50" s="2">
        <f>Masks!A50</f>
        <v>-98.470325397914564</v>
      </c>
      <c r="E50" s="2">
        <f>Masks!B50</f>
        <v>-98.470325397914564</v>
      </c>
      <c r="F50" s="2">
        <f>Calculate[[#This Row],[Tx_PSD_us]]+Calculate[[#This Row],[IL]]</f>
        <v>-111.64749214789407</v>
      </c>
      <c r="G50" s="2">
        <f>Calculate[[#This Row],[Tx_PSD_ds]]+Calculate[[#This Row],[IL]]</f>
        <v>-111.64749214789407</v>
      </c>
      <c r="H50" s="2">
        <f>Masks[[#This Row],[channel_echo]]</f>
        <v>-13.92491363492022</v>
      </c>
      <c r="I50" s="2">
        <f>Masks[[#This Row],[channel_echo]]</f>
        <v>-13.92491363492022</v>
      </c>
      <c r="J50" s="2">
        <f>Calculate[[#This Row],[Echo_transfer_us]]+Calculate[[#This Row],[Tx_PSD_ds]]</f>
        <v>-112.39523903283478</v>
      </c>
      <c r="K50" s="2">
        <f>Calculate[[#This Row],[Echo_transfer_ds]]+Calculate[[#This Row],[Tx_PSD_us]]</f>
        <v>-112.39523903283478</v>
      </c>
      <c r="L50" s="2">
        <f t="shared" si="5"/>
        <v>-140</v>
      </c>
      <c r="M50" s="2">
        <f t="shared" si="6"/>
        <v>-140</v>
      </c>
      <c r="N50" s="2">
        <f t="shared" si="7"/>
        <v>5</v>
      </c>
      <c r="O50" s="2">
        <f t="shared" si="8"/>
        <v>5</v>
      </c>
      <c r="P50" s="2">
        <f>10*LOG10((10^(Calculate[[#This Row],[Rx_echo_us]]/10))-(10^((Masks[[#This Row],[connector_echo]]+Calculate[[#This Row],[Tx_PSD_ds]])/10))*EC_conector_ratio_us)-Calculate[[#This Row],[EC_cancelation_us]]</f>
        <v>-143.47032539791658</v>
      </c>
      <c r="Q50" s="2">
        <f>10*LOG10((10^(Calculate[[#This Row],[Rx_echo_ds]]/10))-(10^((Masks[[#This Row],[connector_echo]]+Calculate[[#This Row],[Tx_PSD_us]])/10))*EC_conector_ratio_ds)-Calculate[[#This Row],[EC_cancelation_ds]]</f>
        <v>-143.47032539791658</v>
      </c>
      <c r="R50" s="2">
        <f>10*LOG10(POWER(10,Calculate[[#This Row],[AFE_noise_us]]/10)+POWER(10,Calculate[[#This Row],[Echo_res_us]]/10))</f>
        <v>-138.38708034075719</v>
      </c>
      <c r="S50" s="2">
        <f>10*LOG10(POWER(10,Calculate[[#This Row],[AFE_noise_ds]]/10)+POWER(10,Calculate[[#This Row],[Echo_res_ds]]/10))</f>
        <v>-138.38708034075719</v>
      </c>
      <c r="T50" s="2">
        <f>Calculate[[#This Row],[Rx_PSD_us]]-Calculate[[#This Row],[Noise_us]]</f>
        <v>26.739588192863124</v>
      </c>
      <c r="U50" s="2">
        <f>Calculate[[#This Row],[Rx_PSD_ds]]-Calculate[[#This Row],[Noise_ds]]</f>
        <v>26.739588192863124</v>
      </c>
      <c r="V50" s="2">
        <f>POWER(10,Calculate[[#This Row],[SNRdB_us]]/10)</f>
        <v>472.01828137803341</v>
      </c>
      <c r="W50" s="2">
        <f>POWER(10,Calculate[[#This Row],[SNRdB_ds]]/10)</f>
        <v>472.01828137803341</v>
      </c>
      <c r="X50" s="2">
        <f>-(0.002*Calculate[[#This Row],[Freq]]/1000000/2.5+0.68*(Calculate[[#This Row],[Freq]]/1000000/2.5)^0.45)</f>
        <v>-16.150984510045898</v>
      </c>
    </row>
    <row r="51" spans="1:24" x14ac:dyDescent="0.25">
      <c r="A51" s="34">
        <f t="shared" si="9"/>
        <v>2250000000</v>
      </c>
      <c r="B51" s="1">
        <f>Calculate[[#This Row],[Freq]]-A50</f>
        <v>45000000</v>
      </c>
      <c r="C51">
        <f>Channels!B51*cable_length</f>
        <v>-13.333879782492327</v>
      </c>
      <c r="D51" s="2">
        <f>Masks!A51</f>
        <v>-98.470325397914564</v>
      </c>
      <c r="E51" s="2">
        <f>Masks!B51</f>
        <v>-98.470325397914564</v>
      </c>
      <c r="F51" s="2">
        <f>Calculate[[#This Row],[Tx_PSD_us]]+Calculate[[#This Row],[IL]]</f>
        <v>-111.8042051804069</v>
      </c>
      <c r="G51" s="2">
        <f>Calculate[[#This Row],[Tx_PSD_ds]]+Calculate[[#This Row],[IL]]</f>
        <v>-111.8042051804069</v>
      </c>
      <c r="H51" s="2">
        <f>Masks[[#This Row],[channel_echo]]</f>
        <v>-13.843655311225845</v>
      </c>
      <c r="I51" s="2">
        <f>Masks[[#This Row],[channel_echo]]</f>
        <v>-13.843655311225845</v>
      </c>
      <c r="J51" s="2">
        <f>Calculate[[#This Row],[Echo_transfer_us]]+Calculate[[#This Row],[Tx_PSD_ds]]</f>
        <v>-112.31398070914041</v>
      </c>
      <c r="K51" s="2">
        <f>Calculate[[#This Row],[Echo_transfer_ds]]+Calculate[[#This Row],[Tx_PSD_us]]</f>
        <v>-112.31398070914041</v>
      </c>
      <c r="L51" s="2">
        <f t="shared" si="5"/>
        <v>-140</v>
      </c>
      <c r="M51" s="2">
        <f t="shared" si="6"/>
        <v>-140</v>
      </c>
      <c r="N51" s="2">
        <f t="shared" si="7"/>
        <v>5</v>
      </c>
      <c r="O51" s="2">
        <f t="shared" si="8"/>
        <v>5</v>
      </c>
      <c r="P51" s="2">
        <f>10*LOG10((10^(Calculate[[#This Row],[Rx_echo_us]]/10))-(10^((Masks[[#This Row],[connector_echo]]+Calculate[[#This Row],[Tx_PSD_ds]])/10))*EC_conector_ratio_us)-Calculate[[#This Row],[EC_cancelation_us]]</f>
        <v>-143.47032539791411</v>
      </c>
      <c r="Q51" s="2">
        <f>10*LOG10((10^(Calculate[[#This Row],[Rx_echo_ds]]/10))-(10^((Masks[[#This Row],[connector_echo]]+Calculate[[#This Row],[Tx_PSD_us]])/10))*EC_conector_ratio_ds)-Calculate[[#This Row],[EC_cancelation_ds]]</f>
        <v>-143.47032539791411</v>
      </c>
      <c r="R51" s="2">
        <f>10*LOG10(POWER(10,Calculate[[#This Row],[AFE_noise_us]]/10)+POWER(10,Calculate[[#This Row],[Echo_res_us]]/10))</f>
        <v>-138.38708034075643</v>
      </c>
      <c r="S51" s="2">
        <f>10*LOG10(POWER(10,Calculate[[#This Row],[AFE_noise_ds]]/10)+POWER(10,Calculate[[#This Row],[Echo_res_ds]]/10))</f>
        <v>-138.38708034075643</v>
      </c>
      <c r="T51" s="2">
        <f>Calculate[[#This Row],[Rx_PSD_us]]-Calculate[[#This Row],[Noise_us]]</f>
        <v>26.582875160349531</v>
      </c>
      <c r="U51" s="2">
        <f>Calculate[[#This Row],[Rx_PSD_ds]]-Calculate[[#This Row],[Noise_ds]]</f>
        <v>26.582875160349531</v>
      </c>
      <c r="V51" s="2">
        <f>POWER(10,Calculate[[#This Row],[SNRdB_us]]/10)</f>
        <v>455.28937568640225</v>
      </c>
      <c r="W51" s="2">
        <f>POWER(10,Calculate[[#This Row],[SNRdB_ds]]/10)</f>
        <v>455.28937568640225</v>
      </c>
      <c r="X51" s="2">
        <f>-(0.002*Calculate[[#This Row],[Freq]]/1000000/2.5+0.68*(Calculate[[#This Row],[Freq]]/1000000/2.5)^0.45)</f>
        <v>-16.318376076548617</v>
      </c>
    </row>
    <row r="52" spans="1:24" x14ac:dyDescent="0.25">
      <c r="A52" s="34">
        <f t="shared" si="9"/>
        <v>2295000000</v>
      </c>
      <c r="B52" s="1">
        <f>Calculate[[#This Row],[Freq]]-A51</f>
        <v>45000000</v>
      </c>
      <c r="C52">
        <f>Channels!B52*cable_length</f>
        <v>-13.489487449090658</v>
      </c>
      <c r="D52" s="2">
        <f>Masks!A52</f>
        <v>-98.470325397914564</v>
      </c>
      <c r="E52" s="2">
        <f>Masks!B52</f>
        <v>-98.470325397914564</v>
      </c>
      <c r="F52" s="2">
        <f>Calculate[[#This Row],[Tx_PSD_us]]+Calculate[[#This Row],[IL]]</f>
        <v>-111.95981284700522</v>
      </c>
      <c r="G52" s="2">
        <f>Calculate[[#This Row],[Tx_PSD_ds]]+Calculate[[#This Row],[IL]]</f>
        <v>-111.95981284700522</v>
      </c>
      <c r="H52" s="2">
        <f>Masks[[#This Row],[channel_echo]]</f>
        <v>-13.763889482468185</v>
      </c>
      <c r="I52" s="2">
        <f>Masks[[#This Row],[channel_echo]]</f>
        <v>-13.763889482468185</v>
      </c>
      <c r="J52" s="2">
        <f>Calculate[[#This Row],[Echo_transfer_us]]+Calculate[[#This Row],[Tx_PSD_ds]]</f>
        <v>-112.23421488038275</v>
      </c>
      <c r="K52" s="2">
        <f>Calculate[[#This Row],[Echo_transfer_ds]]+Calculate[[#This Row],[Tx_PSD_us]]</f>
        <v>-112.23421488038275</v>
      </c>
      <c r="L52" s="2">
        <f t="shared" si="5"/>
        <v>-140</v>
      </c>
      <c r="M52" s="2">
        <f t="shared" si="6"/>
        <v>-140</v>
      </c>
      <c r="N52" s="2">
        <f t="shared" si="7"/>
        <v>5</v>
      </c>
      <c r="O52" s="2">
        <f t="shared" si="8"/>
        <v>5</v>
      </c>
      <c r="P52" s="2">
        <f>10*LOG10((10^(Calculate[[#This Row],[Rx_echo_us]]/10))-(10^((Masks[[#This Row],[connector_echo]]+Calculate[[#This Row],[Tx_PSD_ds]])/10))*EC_conector_ratio_us)-Calculate[[#This Row],[EC_cancelation_us]]</f>
        <v>-143.47032539791311</v>
      </c>
      <c r="Q52" s="2">
        <f>10*LOG10((10^(Calculate[[#This Row],[Rx_echo_ds]]/10))-(10^((Masks[[#This Row],[connector_echo]]+Calculate[[#This Row],[Tx_PSD_us]])/10))*EC_conector_ratio_ds)-Calculate[[#This Row],[EC_cancelation_ds]]</f>
        <v>-143.47032539791311</v>
      </c>
      <c r="R52" s="2">
        <f>10*LOG10(POWER(10,Calculate[[#This Row],[AFE_noise_us]]/10)+POWER(10,Calculate[[#This Row],[Echo_res_us]]/10))</f>
        <v>-138.38708034075614</v>
      </c>
      <c r="S52" s="2">
        <f>10*LOG10(POWER(10,Calculate[[#This Row],[AFE_noise_ds]]/10)+POWER(10,Calculate[[#This Row],[Echo_res_ds]]/10))</f>
        <v>-138.38708034075614</v>
      </c>
      <c r="T52" s="2">
        <f>Calculate[[#This Row],[Rx_PSD_us]]-Calculate[[#This Row],[Noise_us]]</f>
        <v>26.427267493750918</v>
      </c>
      <c r="U52" s="2">
        <f>Calculate[[#This Row],[Rx_PSD_ds]]-Calculate[[#This Row],[Noise_ds]]</f>
        <v>26.427267493750918</v>
      </c>
      <c r="V52" s="2">
        <f>POWER(10,Calculate[[#This Row],[SNRdB_us]]/10)</f>
        <v>439.26515038931478</v>
      </c>
      <c r="W52" s="2">
        <f>POWER(10,Calculate[[#This Row],[SNRdB_ds]]/10)</f>
        <v>439.26515038931478</v>
      </c>
      <c r="X52" s="2">
        <f>-(0.002*Calculate[[#This Row],[Freq]]/1000000/2.5+0.68*(Calculate[[#This Row],[Freq]]/1000000/2.5)^0.45)</f>
        <v>-16.484330134412158</v>
      </c>
    </row>
    <row r="53" spans="1:24" x14ac:dyDescent="0.25">
      <c r="A53" s="34">
        <f t="shared" si="9"/>
        <v>2340000000</v>
      </c>
      <c r="B53" s="1">
        <f>Calculate[[#This Row],[Freq]]-A52</f>
        <v>45000000</v>
      </c>
      <c r="C53">
        <f>Channels!B53*cable_length</f>
        <v>-13.644022105855345</v>
      </c>
      <c r="D53" s="2">
        <f>Masks!A53</f>
        <v>-98.470325397914564</v>
      </c>
      <c r="E53" s="2">
        <f>Masks!B53</f>
        <v>-98.470325397914564</v>
      </c>
      <c r="F53" s="2">
        <f>Calculate[[#This Row],[Tx_PSD_us]]+Calculate[[#This Row],[IL]]</f>
        <v>-112.11434750376991</v>
      </c>
      <c r="G53" s="2">
        <f>Calculate[[#This Row],[Tx_PSD_ds]]+Calculate[[#This Row],[IL]]</f>
        <v>-112.11434750376991</v>
      </c>
      <c r="H53" s="2">
        <f>Masks[[#This Row],[channel_echo]]</f>
        <v>-13.685562309868279</v>
      </c>
      <c r="I53" s="2">
        <f>Masks[[#This Row],[channel_echo]]</f>
        <v>-13.685562309868279</v>
      </c>
      <c r="J53" s="2">
        <f>Calculate[[#This Row],[Echo_transfer_us]]+Calculate[[#This Row],[Tx_PSD_ds]]</f>
        <v>-112.15588770778284</v>
      </c>
      <c r="K53" s="2">
        <f>Calculate[[#This Row],[Echo_transfer_ds]]+Calculate[[#This Row],[Tx_PSD_us]]</f>
        <v>-112.15588770778284</v>
      </c>
      <c r="L53" s="2">
        <f t="shared" si="5"/>
        <v>-140</v>
      </c>
      <c r="M53" s="2">
        <f t="shared" si="6"/>
        <v>-140</v>
      </c>
      <c r="N53" s="2">
        <f t="shared" si="7"/>
        <v>5</v>
      </c>
      <c r="O53" s="2">
        <f t="shared" si="8"/>
        <v>5</v>
      </c>
      <c r="P53" s="2">
        <f>10*LOG10((10^(Calculate[[#This Row],[Rx_echo_us]]/10))-(10^((Masks[[#This Row],[connector_echo]]+Calculate[[#This Row],[Tx_PSD_ds]])/10))*EC_conector_ratio_us)-Calculate[[#This Row],[EC_cancelation_us]]</f>
        <v>-143.47032539791536</v>
      </c>
      <c r="Q53" s="2">
        <f>10*LOG10((10^(Calculate[[#This Row],[Rx_echo_ds]]/10))-(10^((Masks[[#This Row],[connector_echo]]+Calculate[[#This Row],[Tx_PSD_us]])/10))*EC_conector_ratio_ds)-Calculate[[#This Row],[EC_cancelation_ds]]</f>
        <v>-143.47032539791536</v>
      </c>
      <c r="R53" s="2">
        <f>10*LOG10(POWER(10,Calculate[[#This Row],[AFE_noise_us]]/10)+POWER(10,Calculate[[#This Row],[Echo_res_us]]/10))</f>
        <v>-138.38708034075682</v>
      </c>
      <c r="S53" s="2">
        <f>10*LOG10(POWER(10,Calculate[[#This Row],[AFE_noise_ds]]/10)+POWER(10,Calculate[[#This Row],[Echo_res_ds]]/10))</f>
        <v>-138.38708034075682</v>
      </c>
      <c r="T53" s="2">
        <f>Calculate[[#This Row],[Rx_PSD_us]]-Calculate[[#This Row],[Noise_us]]</f>
        <v>26.272732836986918</v>
      </c>
      <c r="U53" s="2">
        <f>Calculate[[#This Row],[Rx_PSD_ds]]-Calculate[[#This Row],[Noise_ds]]</f>
        <v>26.272732836986918</v>
      </c>
      <c r="V53" s="2">
        <f>POWER(10,Calculate[[#This Row],[SNRdB_us]]/10)</f>
        <v>423.90963107821165</v>
      </c>
      <c r="W53" s="2">
        <f>POWER(10,Calculate[[#This Row],[SNRdB_ds]]/10)</f>
        <v>423.90963107821165</v>
      </c>
      <c r="X53" s="2">
        <f>-(0.002*Calculate[[#This Row],[Freq]]/1000000/2.5+0.68*(Calculate[[#This Row],[Freq]]/1000000/2.5)^0.45)</f>
        <v>-16.648890143482916</v>
      </c>
    </row>
    <row r="54" spans="1:24" x14ac:dyDescent="0.25">
      <c r="A54" s="34">
        <f t="shared" si="9"/>
        <v>2385000000</v>
      </c>
      <c r="B54" s="1">
        <f>Calculate[[#This Row],[Freq]]-A53</f>
        <v>45000000</v>
      </c>
      <c r="C54">
        <f>Channels!B54*cable_length</f>
        <v>-13.797514560475067</v>
      </c>
      <c r="D54" s="2">
        <f>Masks!A54</f>
        <v>-98.470325397914564</v>
      </c>
      <c r="E54" s="2">
        <f>Masks!B54</f>
        <v>-98.470325397914564</v>
      </c>
      <c r="F54" s="2">
        <f>Calculate[[#This Row],[Tx_PSD_us]]+Calculate[[#This Row],[IL]]</f>
        <v>-112.26783995838963</v>
      </c>
      <c r="G54" s="2">
        <f>Calculate[[#This Row],[Tx_PSD_ds]]+Calculate[[#This Row],[IL]]</f>
        <v>-112.26783995838963</v>
      </c>
      <c r="H54" s="2">
        <f>Masks[[#This Row],[channel_echo]]</f>
        <v>-13.608622816299063</v>
      </c>
      <c r="I54" s="2">
        <f>Masks[[#This Row],[channel_echo]]</f>
        <v>-13.608622816299063</v>
      </c>
      <c r="J54" s="2">
        <f>Calculate[[#This Row],[Echo_transfer_us]]+Calculate[[#This Row],[Tx_PSD_ds]]</f>
        <v>-112.07894821421363</v>
      </c>
      <c r="K54" s="2">
        <f>Calculate[[#This Row],[Echo_transfer_ds]]+Calculate[[#This Row],[Tx_PSD_us]]</f>
        <v>-112.07894821421363</v>
      </c>
      <c r="L54" s="2">
        <f t="shared" si="5"/>
        <v>-140</v>
      </c>
      <c r="M54" s="2">
        <f t="shared" si="6"/>
        <v>-140</v>
      </c>
      <c r="N54" s="2">
        <f t="shared" si="7"/>
        <v>5</v>
      </c>
      <c r="O54" s="2">
        <f t="shared" si="8"/>
        <v>5</v>
      </c>
      <c r="P54" s="2">
        <f>10*LOG10((10^(Calculate[[#This Row],[Rx_echo_us]]/10))-(10^((Masks[[#This Row],[connector_echo]]+Calculate[[#This Row],[Tx_PSD_ds]])/10))*EC_conector_ratio_us)-Calculate[[#This Row],[EC_cancelation_us]]</f>
        <v>-143.47032539791141</v>
      </c>
      <c r="Q54" s="2">
        <f>10*LOG10((10^(Calculate[[#This Row],[Rx_echo_ds]]/10))-(10^((Masks[[#This Row],[connector_echo]]+Calculate[[#This Row],[Tx_PSD_us]])/10))*EC_conector_ratio_ds)-Calculate[[#This Row],[EC_cancelation_ds]]</f>
        <v>-143.47032539791141</v>
      </c>
      <c r="R54" s="2">
        <f>10*LOG10(POWER(10,Calculate[[#This Row],[AFE_noise_us]]/10)+POWER(10,Calculate[[#This Row],[Echo_res_us]]/10))</f>
        <v>-138.3870803407556</v>
      </c>
      <c r="S54" s="2">
        <f>10*LOG10(POWER(10,Calculate[[#This Row],[AFE_noise_ds]]/10)+POWER(10,Calculate[[#This Row],[Echo_res_ds]]/10))</f>
        <v>-138.3870803407556</v>
      </c>
      <c r="T54" s="2">
        <f>Calculate[[#This Row],[Rx_PSD_us]]-Calculate[[#This Row],[Noise_us]]</f>
        <v>26.119240382365973</v>
      </c>
      <c r="U54" s="2">
        <f>Calculate[[#This Row],[Rx_PSD_ds]]-Calculate[[#This Row],[Noise_ds]]</f>
        <v>26.119240382365973</v>
      </c>
      <c r="V54" s="2">
        <f>POWER(10,Calculate[[#This Row],[SNRdB_us]]/10)</f>
        <v>409.18908285287421</v>
      </c>
      <c r="W54" s="2">
        <f>POWER(10,Calculate[[#This Row],[SNRdB_ds]]/10)</f>
        <v>409.18908285287421</v>
      </c>
      <c r="X54" s="2">
        <f>-(0.002*Calculate[[#This Row],[Freq]]/1000000/2.5+0.68*(Calculate[[#This Row],[Freq]]/1000000/2.5)^0.45)</f>
        <v>-16.812097443273519</v>
      </c>
    </row>
    <row r="55" spans="1:24" x14ac:dyDescent="0.25">
      <c r="A55" s="34">
        <f t="shared" si="9"/>
        <v>2430000000</v>
      </c>
      <c r="B55" s="1">
        <f>Calculate[[#This Row],[Freq]]-A54</f>
        <v>45000000</v>
      </c>
      <c r="C55">
        <f>Channels!B55*cable_length</f>
        <v>-13.949994174039483</v>
      </c>
      <c r="D55" s="2">
        <f>Masks!A55</f>
        <v>-98.470325397914564</v>
      </c>
      <c r="E55" s="2">
        <f>Masks!B55</f>
        <v>-98.470325397914564</v>
      </c>
      <c r="F55" s="2">
        <f>Calculate[[#This Row],[Tx_PSD_us]]+Calculate[[#This Row],[IL]]</f>
        <v>-112.42031957195405</v>
      </c>
      <c r="G55" s="2">
        <f>Calculate[[#This Row],[Tx_PSD_ds]]+Calculate[[#This Row],[IL]]</f>
        <v>-112.42031957195405</v>
      </c>
      <c r="H55" s="2">
        <f>Masks[[#This Row],[channel_echo]]</f>
        <v>-13.533022687006655</v>
      </c>
      <c r="I55" s="2">
        <f>Masks[[#This Row],[channel_echo]]</f>
        <v>-13.533022687006655</v>
      </c>
      <c r="J55" s="2">
        <f>Calculate[[#This Row],[Echo_transfer_us]]+Calculate[[#This Row],[Tx_PSD_ds]]</f>
        <v>-112.00334808492121</v>
      </c>
      <c r="K55" s="2">
        <f>Calculate[[#This Row],[Echo_transfer_ds]]+Calculate[[#This Row],[Tx_PSD_us]]</f>
        <v>-112.00334808492121</v>
      </c>
      <c r="L55" s="2">
        <f t="shared" si="5"/>
        <v>-140</v>
      </c>
      <c r="M55" s="2">
        <f t="shared" si="6"/>
        <v>-140</v>
      </c>
      <c r="N55" s="2">
        <f t="shared" si="7"/>
        <v>5</v>
      </c>
      <c r="O55" s="2">
        <f t="shared" si="8"/>
        <v>5</v>
      </c>
      <c r="P55" s="2">
        <f>10*LOG10((10^(Calculate[[#This Row],[Rx_echo_us]]/10))-(10^((Masks[[#This Row],[connector_echo]]+Calculate[[#This Row],[Tx_PSD_ds]])/10))*EC_conector_ratio_us)-Calculate[[#This Row],[EC_cancelation_us]]</f>
        <v>-143.47032539790081</v>
      </c>
      <c r="Q55" s="2">
        <f>10*LOG10((10^(Calculate[[#This Row],[Rx_echo_ds]]/10))-(10^((Masks[[#This Row],[connector_echo]]+Calculate[[#This Row],[Tx_PSD_us]])/10))*EC_conector_ratio_ds)-Calculate[[#This Row],[EC_cancelation_ds]]</f>
        <v>-143.47032539790081</v>
      </c>
      <c r="R55" s="2">
        <f>10*LOG10(POWER(10,Calculate[[#This Row],[AFE_noise_us]]/10)+POWER(10,Calculate[[#This Row],[Echo_res_us]]/10))</f>
        <v>-138.38708034075233</v>
      </c>
      <c r="S55" s="2">
        <f>10*LOG10(POWER(10,Calculate[[#This Row],[AFE_noise_ds]]/10)+POWER(10,Calculate[[#This Row],[Echo_res_ds]]/10))</f>
        <v>-138.38708034075233</v>
      </c>
      <c r="T55" s="2">
        <f>Calculate[[#This Row],[Rx_PSD_us]]-Calculate[[#This Row],[Noise_us]]</f>
        <v>25.966760768798281</v>
      </c>
      <c r="U55" s="2">
        <f>Calculate[[#This Row],[Rx_PSD_ds]]-Calculate[[#This Row],[Noise_ds]]</f>
        <v>25.966760768798281</v>
      </c>
      <c r="V55" s="2">
        <f>POWER(10,Calculate[[#This Row],[SNRdB_us]]/10)</f>
        <v>395.07184164977076</v>
      </c>
      <c r="W55" s="2">
        <f>POWER(10,Calculate[[#This Row],[SNRdB_ds]]/10)</f>
        <v>395.07184164977076</v>
      </c>
      <c r="X55" s="2">
        <f>-(0.002*Calculate[[#This Row],[Freq]]/1000000/2.5+0.68*(Calculate[[#This Row],[Freq]]/1000000/2.5)^0.45)</f>
        <v>-16.973991394280326</v>
      </c>
    </row>
    <row r="56" spans="1:24" x14ac:dyDescent="0.25">
      <c r="A56" s="34">
        <f t="shared" si="9"/>
        <v>2475000000</v>
      </c>
      <c r="B56" s="1">
        <f>Calculate[[#This Row],[Freq]]-A55</f>
        <v>45000000</v>
      </c>
      <c r="C56">
        <f>Channels!B56*cable_length</f>
        <v>-14.101488954386667</v>
      </c>
      <c r="D56" s="2">
        <f>Masks!A56</f>
        <v>-98.470325397914564</v>
      </c>
      <c r="E56" s="2">
        <f>Masks!B56</f>
        <v>-98.470325397914564</v>
      </c>
      <c r="F56" s="2">
        <f>Calculate[[#This Row],[Tx_PSD_us]]+Calculate[[#This Row],[IL]]</f>
        <v>-112.57181435230123</v>
      </c>
      <c r="G56" s="2">
        <f>Calculate[[#This Row],[Tx_PSD_ds]]+Calculate[[#This Row],[IL]]</f>
        <v>-112.57181435230123</v>
      </c>
      <c r="H56" s="2">
        <f>Masks[[#This Row],[channel_echo]]</f>
        <v>-13.458716087381875</v>
      </c>
      <c r="I56" s="2">
        <f>Masks[[#This Row],[channel_echo]]</f>
        <v>-13.458716087381875</v>
      </c>
      <c r="J56" s="2">
        <f>Calculate[[#This Row],[Echo_transfer_us]]+Calculate[[#This Row],[Tx_PSD_ds]]</f>
        <v>-111.92904148529644</v>
      </c>
      <c r="K56" s="2">
        <f>Calculate[[#This Row],[Echo_transfer_ds]]+Calculate[[#This Row],[Tx_PSD_us]]</f>
        <v>-111.92904148529644</v>
      </c>
      <c r="L56" s="2">
        <f t="shared" si="5"/>
        <v>-140</v>
      </c>
      <c r="M56" s="2">
        <f t="shared" si="6"/>
        <v>-140</v>
      </c>
      <c r="N56" s="2">
        <f t="shared" si="7"/>
        <v>5</v>
      </c>
      <c r="O56" s="2">
        <f t="shared" si="8"/>
        <v>5</v>
      </c>
      <c r="P56" s="2">
        <f>10*LOG10((10^(Calculate[[#This Row],[Rx_echo_us]]/10))-(10^((Masks[[#This Row],[connector_echo]]+Calculate[[#This Row],[Tx_PSD_ds]])/10))*EC_conector_ratio_us)-Calculate[[#This Row],[EC_cancelation_us]]</f>
        <v>-143.47032539791215</v>
      </c>
      <c r="Q56" s="2">
        <f>10*LOG10((10^(Calculate[[#This Row],[Rx_echo_ds]]/10))-(10^((Masks[[#This Row],[connector_echo]]+Calculate[[#This Row],[Tx_PSD_us]])/10))*EC_conector_ratio_ds)-Calculate[[#This Row],[EC_cancelation_ds]]</f>
        <v>-143.47032539791215</v>
      </c>
      <c r="R56" s="2">
        <f>10*LOG10(POWER(10,Calculate[[#This Row],[AFE_noise_us]]/10)+POWER(10,Calculate[[#This Row],[Echo_res_us]]/10))</f>
        <v>-138.38708034075583</v>
      </c>
      <c r="S56" s="2">
        <f>10*LOG10(POWER(10,Calculate[[#This Row],[AFE_noise_ds]]/10)+POWER(10,Calculate[[#This Row],[Echo_res_ds]]/10))</f>
        <v>-138.38708034075583</v>
      </c>
      <c r="T56" s="2">
        <f>Calculate[[#This Row],[Rx_PSD_us]]-Calculate[[#This Row],[Noise_us]]</f>
        <v>25.815265988454598</v>
      </c>
      <c r="U56" s="2">
        <f>Calculate[[#This Row],[Rx_PSD_ds]]-Calculate[[#This Row],[Noise_ds]]</f>
        <v>25.815265988454598</v>
      </c>
      <c r="V56" s="2">
        <f>POWER(10,Calculate[[#This Row],[SNRdB_us]]/10)</f>
        <v>381.52816067768777</v>
      </c>
      <c r="W56" s="2">
        <f>POWER(10,Calculate[[#This Row],[SNRdB_ds]]/10)</f>
        <v>381.52816067768777</v>
      </c>
      <c r="X56" s="2">
        <f>-(0.002*Calculate[[#This Row],[Freq]]/1000000/2.5+0.68*(Calculate[[#This Row],[Freq]]/1000000/2.5)^0.45)</f>
        <v>-17.134609507451291</v>
      </c>
    </row>
    <row r="57" spans="1:24" x14ac:dyDescent="0.25">
      <c r="A57" s="34">
        <f t="shared" si="9"/>
        <v>2520000000</v>
      </c>
      <c r="B57" s="1">
        <f>Calculate[[#This Row],[Freq]]-A56</f>
        <v>45000000</v>
      </c>
      <c r="C57">
        <f>Channels!B57*cable_length</f>
        <v>-14.252025641845758</v>
      </c>
      <c r="D57" s="2">
        <f>Masks!A57</f>
        <v>-98.470325397914564</v>
      </c>
      <c r="E57" s="2">
        <f>Masks!B57</f>
        <v>-98.470325397914564</v>
      </c>
      <c r="F57" s="2">
        <f>Calculate[[#This Row],[Tx_PSD_us]]+Calculate[[#This Row],[IL]]</f>
        <v>-112.72235103976033</v>
      </c>
      <c r="G57" s="2">
        <f>Calculate[[#This Row],[Tx_PSD_ds]]+Calculate[[#This Row],[IL]]</f>
        <v>-112.72235103976033</v>
      </c>
      <c r="H57" s="2">
        <f>Masks[[#This Row],[channel_echo]]</f>
        <v>-13.385659496060802</v>
      </c>
      <c r="I57" s="2">
        <f>Masks[[#This Row],[channel_echo]]</f>
        <v>-13.385659496060802</v>
      </c>
      <c r="J57" s="2">
        <f>Calculate[[#This Row],[Echo_transfer_us]]+Calculate[[#This Row],[Tx_PSD_ds]]</f>
        <v>-111.85598489397536</v>
      </c>
      <c r="K57" s="2">
        <f>Calculate[[#This Row],[Echo_transfer_ds]]+Calculate[[#This Row],[Tx_PSD_us]]</f>
        <v>-111.85598489397536</v>
      </c>
      <c r="L57" s="2">
        <f t="shared" si="5"/>
        <v>-140</v>
      </c>
      <c r="M57" s="2">
        <f t="shared" si="6"/>
        <v>-140</v>
      </c>
      <c r="N57" s="2">
        <f t="shared" si="7"/>
        <v>5</v>
      </c>
      <c r="O57" s="2">
        <f t="shared" si="8"/>
        <v>5</v>
      </c>
      <c r="P57" s="2">
        <f>10*LOG10((10^(Calculate[[#This Row],[Rx_echo_us]]/10))-(10^((Masks[[#This Row],[connector_echo]]+Calculate[[#This Row],[Tx_PSD_ds]])/10))*EC_conector_ratio_us)-Calculate[[#This Row],[EC_cancelation_us]]</f>
        <v>-143.47032539791311</v>
      </c>
      <c r="Q57" s="2">
        <f>10*LOG10((10^(Calculate[[#This Row],[Rx_echo_ds]]/10))-(10^((Masks[[#This Row],[connector_echo]]+Calculate[[#This Row],[Tx_PSD_us]])/10))*EC_conector_ratio_ds)-Calculate[[#This Row],[EC_cancelation_ds]]</f>
        <v>-143.47032539791311</v>
      </c>
      <c r="R57" s="2">
        <f>10*LOG10(POWER(10,Calculate[[#This Row],[AFE_noise_us]]/10)+POWER(10,Calculate[[#This Row],[Echo_res_us]]/10))</f>
        <v>-138.38708034075614</v>
      </c>
      <c r="S57" s="2">
        <f>10*LOG10(POWER(10,Calculate[[#This Row],[AFE_noise_ds]]/10)+POWER(10,Calculate[[#This Row],[Echo_res_ds]]/10))</f>
        <v>-138.38708034075614</v>
      </c>
      <c r="T57" s="2">
        <f>Calculate[[#This Row],[Rx_PSD_us]]-Calculate[[#This Row],[Noise_us]]</f>
        <v>25.664729300995816</v>
      </c>
      <c r="U57" s="2">
        <f>Calculate[[#This Row],[Rx_PSD_ds]]-Calculate[[#This Row],[Noise_ds]]</f>
        <v>25.664729300995816</v>
      </c>
      <c r="V57" s="2">
        <f>POWER(10,Calculate[[#This Row],[SNRdB_us]]/10)</f>
        <v>368.53007038119296</v>
      </c>
      <c r="W57" s="2">
        <f>POWER(10,Calculate[[#This Row],[SNRdB_ds]]/10)</f>
        <v>368.53007038119296</v>
      </c>
      <c r="X57" s="2">
        <f>-(0.002*Calculate[[#This Row],[Freq]]/1000000/2.5+0.68*(Calculate[[#This Row],[Freq]]/1000000/2.5)^0.45)</f>
        <v>-17.293987562994062</v>
      </c>
    </row>
    <row r="58" spans="1:24" x14ac:dyDescent="0.25">
      <c r="A58" s="34">
        <f t="shared" si="9"/>
        <v>2565000000</v>
      </c>
      <c r="B58" s="1">
        <f>Calculate[[#This Row],[Freq]]-A57</f>
        <v>45000000</v>
      </c>
      <c r="C58">
        <f>Channels!B58*cable_length</f>
        <v>-14.401629788118674</v>
      </c>
      <c r="D58" s="2">
        <f>Masks!A58</f>
        <v>-98.470325397914564</v>
      </c>
      <c r="E58" s="2">
        <f>Masks!B58</f>
        <v>-98.470325397914564</v>
      </c>
      <c r="F58" s="2">
        <f>Calculate[[#This Row],[Tx_PSD_us]]+Calculate[[#This Row],[IL]]</f>
        <v>-112.87195518603323</v>
      </c>
      <c r="G58" s="2">
        <f>Calculate[[#This Row],[Tx_PSD_ds]]+Calculate[[#This Row],[IL]]</f>
        <v>-112.87195518603323</v>
      </c>
      <c r="H58" s="2">
        <f>Masks[[#This Row],[channel_echo]]</f>
        <v>-13.313811551832561</v>
      </c>
      <c r="I58" s="2">
        <f>Masks[[#This Row],[channel_echo]]</f>
        <v>-13.313811551832561</v>
      </c>
      <c r="J58" s="2">
        <f>Calculate[[#This Row],[Echo_transfer_us]]+Calculate[[#This Row],[Tx_PSD_ds]]</f>
        <v>-111.78413694974712</v>
      </c>
      <c r="K58" s="2">
        <f>Calculate[[#This Row],[Echo_transfer_ds]]+Calculate[[#This Row],[Tx_PSD_us]]</f>
        <v>-111.78413694974712</v>
      </c>
      <c r="L58" s="2">
        <f t="shared" si="5"/>
        <v>-140</v>
      </c>
      <c r="M58" s="2">
        <f t="shared" si="6"/>
        <v>-140</v>
      </c>
      <c r="N58" s="2">
        <f t="shared" si="7"/>
        <v>5</v>
      </c>
      <c r="O58" s="2">
        <f t="shared" si="8"/>
        <v>5</v>
      </c>
      <c r="P58" s="2">
        <f>10*LOG10((10^(Calculate[[#This Row],[Rx_echo_us]]/10))-(10^((Masks[[#This Row],[connector_echo]]+Calculate[[#This Row],[Tx_PSD_ds]])/10))*EC_conector_ratio_us)-Calculate[[#This Row],[EC_cancelation_us]]</f>
        <v>-143.47032539790646</v>
      </c>
      <c r="Q58" s="2">
        <f>10*LOG10((10^(Calculate[[#This Row],[Rx_echo_ds]]/10))-(10^((Masks[[#This Row],[connector_echo]]+Calculate[[#This Row],[Tx_PSD_us]])/10))*EC_conector_ratio_ds)-Calculate[[#This Row],[EC_cancelation_ds]]</f>
        <v>-143.47032539790646</v>
      </c>
      <c r="R58" s="2">
        <f>10*LOG10(POWER(10,Calculate[[#This Row],[AFE_noise_us]]/10)+POWER(10,Calculate[[#This Row],[Echo_res_us]]/10))</f>
        <v>-138.38708034075407</v>
      </c>
      <c r="S58" s="2">
        <f>10*LOG10(POWER(10,Calculate[[#This Row],[AFE_noise_ds]]/10)+POWER(10,Calculate[[#This Row],[Echo_res_ds]]/10))</f>
        <v>-138.38708034075407</v>
      </c>
      <c r="T58" s="2">
        <f>Calculate[[#This Row],[Rx_PSD_us]]-Calculate[[#This Row],[Noise_us]]</f>
        <v>25.515125154720835</v>
      </c>
      <c r="U58" s="2">
        <f>Calculate[[#This Row],[Rx_PSD_ds]]-Calculate[[#This Row],[Noise_ds]]</f>
        <v>25.515125154720835</v>
      </c>
      <c r="V58" s="2">
        <f>POWER(10,Calculate[[#This Row],[SNRdB_us]]/10)</f>
        <v>356.05125055149301</v>
      </c>
      <c r="W58" s="2">
        <f>POWER(10,Calculate[[#This Row],[SNRdB_ds]]/10)</f>
        <v>356.05125055149301</v>
      </c>
      <c r="X58" s="2">
        <f>-(0.002*Calculate[[#This Row],[Freq]]/1000000/2.5+0.68*(Calculate[[#This Row],[Freq]]/1000000/2.5)^0.45)</f>
        <v>-17.452159719575963</v>
      </c>
    </row>
    <row r="59" spans="1:24" x14ac:dyDescent="0.25">
      <c r="A59" s="34">
        <f t="shared" si="9"/>
        <v>2610000000</v>
      </c>
      <c r="B59" s="1">
        <f>Calculate[[#This Row],[Freq]]-A58</f>
        <v>45000000</v>
      </c>
      <c r="C59">
        <f>Channels!B59*cable_length</f>
        <v>-14.550325828960156</v>
      </c>
      <c r="D59" s="2">
        <f>Masks!A59</f>
        <v>-98.470325397914564</v>
      </c>
      <c r="E59" s="2">
        <f>Masks!B59</f>
        <v>-98.470325397914564</v>
      </c>
      <c r="F59" s="2">
        <f>Calculate[[#This Row],[Tx_PSD_us]]+Calculate[[#This Row],[IL]]</f>
        <v>-113.02065122687472</v>
      </c>
      <c r="G59" s="2">
        <f>Calculate[[#This Row],[Tx_PSD_ds]]+Calculate[[#This Row],[IL]]</f>
        <v>-113.02065122687472</v>
      </c>
      <c r="H59" s="2">
        <f>Masks[[#This Row],[channel_echo]]</f>
        <v>-13.243132913005988</v>
      </c>
      <c r="I59" s="2">
        <f>Masks[[#This Row],[channel_echo]]</f>
        <v>-13.243132913005988</v>
      </c>
      <c r="J59" s="2">
        <f>Calculate[[#This Row],[Echo_transfer_us]]+Calculate[[#This Row],[Tx_PSD_ds]]</f>
        <v>-111.71345831092056</v>
      </c>
      <c r="K59" s="2">
        <f>Calculate[[#This Row],[Echo_transfer_ds]]+Calculate[[#This Row],[Tx_PSD_us]]</f>
        <v>-111.71345831092056</v>
      </c>
      <c r="L59" s="2">
        <f t="shared" si="5"/>
        <v>-140</v>
      </c>
      <c r="M59" s="2">
        <f t="shared" si="6"/>
        <v>-140</v>
      </c>
      <c r="N59" s="2">
        <f t="shared" si="7"/>
        <v>5</v>
      </c>
      <c r="O59" s="2">
        <f t="shared" si="8"/>
        <v>5</v>
      </c>
      <c r="P59" s="2">
        <f>10*LOG10((10^(Calculate[[#This Row],[Rx_echo_us]]/10))-(10^((Masks[[#This Row],[connector_echo]]+Calculate[[#This Row],[Tx_PSD_ds]])/10))*EC_conector_ratio_us)-Calculate[[#This Row],[EC_cancelation_us]]</f>
        <v>-143.47032539792201</v>
      </c>
      <c r="Q59" s="2">
        <f>10*LOG10((10^(Calculate[[#This Row],[Rx_echo_ds]]/10))-(10^((Masks[[#This Row],[connector_echo]]+Calculate[[#This Row],[Tx_PSD_us]])/10))*EC_conector_ratio_ds)-Calculate[[#This Row],[EC_cancelation_ds]]</f>
        <v>-143.47032539792201</v>
      </c>
      <c r="R59" s="2">
        <f>10*LOG10(POWER(10,Calculate[[#This Row],[AFE_noise_us]]/10)+POWER(10,Calculate[[#This Row],[Echo_res_us]]/10))</f>
        <v>-138.3870803407589</v>
      </c>
      <c r="S59" s="2">
        <f>10*LOG10(POWER(10,Calculate[[#This Row],[AFE_noise_ds]]/10)+POWER(10,Calculate[[#This Row],[Echo_res_ds]]/10))</f>
        <v>-138.3870803407589</v>
      </c>
      <c r="T59" s="2">
        <f>Calculate[[#This Row],[Rx_PSD_us]]-Calculate[[#This Row],[Noise_us]]</f>
        <v>25.36642911388418</v>
      </c>
      <c r="U59" s="2">
        <f>Calculate[[#This Row],[Rx_PSD_ds]]-Calculate[[#This Row],[Noise_ds]]</f>
        <v>25.36642911388418</v>
      </c>
      <c r="V59" s="2">
        <f>POWER(10,Calculate[[#This Row],[SNRdB_us]]/10)</f>
        <v>344.06691335067495</v>
      </c>
      <c r="W59" s="2">
        <f>POWER(10,Calculate[[#This Row],[SNRdB_ds]]/10)</f>
        <v>344.06691335067495</v>
      </c>
      <c r="X59" s="2">
        <f>-(0.002*Calculate[[#This Row],[Freq]]/1000000/2.5+0.68*(Calculate[[#This Row],[Freq]]/1000000/2.5)^0.45)</f>
        <v>-17.609158614847171</v>
      </c>
    </row>
    <row r="60" spans="1:24" x14ac:dyDescent="0.25">
      <c r="A60" s="34">
        <f t="shared" si="9"/>
        <v>2655000000</v>
      </c>
      <c r="B60" s="1">
        <f>Calculate[[#This Row],[Freq]]-A59</f>
        <v>45000000</v>
      </c>
      <c r="C60">
        <f>Channels!B60*cable_length</f>
        <v>-14.698137151241845</v>
      </c>
      <c r="D60" s="2">
        <f>Masks!A60</f>
        <v>-98.470325397914564</v>
      </c>
      <c r="E60" s="2">
        <f>Masks!B60</f>
        <v>-98.470325397914564</v>
      </c>
      <c r="F60" s="2">
        <f>Calculate[[#This Row],[Tx_PSD_us]]+Calculate[[#This Row],[IL]]</f>
        <v>-113.1684625491564</v>
      </c>
      <c r="G60" s="2">
        <f>Calculate[[#This Row],[Tx_PSD_ds]]+Calculate[[#This Row],[IL]]</f>
        <v>-113.1684625491564</v>
      </c>
      <c r="H60" s="2">
        <f>Masks[[#This Row],[channel_echo]]</f>
        <v>-13.173586128037847</v>
      </c>
      <c r="I60" s="2">
        <f>Masks[[#This Row],[channel_echo]]</f>
        <v>-13.173586128037847</v>
      </c>
      <c r="J60" s="2">
        <f>Calculate[[#This Row],[Echo_transfer_us]]+Calculate[[#This Row],[Tx_PSD_ds]]</f>
        <v>-111.6439115259524</v>
      </c>
      <c r="K60" s="2">
        <f>Calculate[[#This Row],[Echo_transfer_ds]]+Calculate[[#This Row],[Tx_PSD_us]]</f>
        <v>-111.6439115259524</v>
      </c>
      <c r="L60" s="2">
        <f t="shared" si="5"/>
        <v>-140</v>
      </c>
      <c r="M60" s="2">
        <f t="shared" si="6"/>
        <v>-140</v>
      </c>
      <c r="N60" s="2">
        <f t="shared" si="7"/>
        <v>5</v>
      </c>
      <c r="O60" s="2">
        <f t="shared" si="8"/>
        <v>5</v>
      </c>
      <c r="P60" s="2">
        <f>10*LOG10((10^(Calculate[[#This Row],[Rx_echo_us]]/10))-(10^((Masks[[#This Row],[connector_echo]]+Calculate[[#This Row],[Tx_PSD_ds]])/10))*EC_conector_ratio_us)-Calculate[[#This Row],[EC_cancelation_us]]</f>
        <v>-143.47032539790524</v>
      </c>
      <c r="Q60" s="2">
        <f>10*LOG10((10^(Calculate[[#This Row],[Rx_echo_ds]]/10))-(10^((Masks[[#This Row],[connector_echo]]+Calculate[[#This Row],[Tx_PSD_us]])/10))*EC_conector_ratio_ds)-Calculate[[#This Row],[EC_cancelation_ds]]</f>
        <v>-143.47032539790524</v>
      </c>
      <c r="R60" s="2">
        <f>10*LOG10(POWER(10,Calculate[[#This Row],[AFE_noise_us]]/10)+POWER(10,Calculate[[#This Row],[Echo_res_us]]/10))</f>
        <v>-138.3870803407537</v>
      </c>
      <c r="S60" s="2">
        <f>10*LOG10(POWER(10,Calculate[[#This Row],[AFE_noise_ds]]/10)+POWER(10,Calculate[[#This Row],[Echo_res_ds]]/10))</f>
        <v>-138.3870803407537</v>
      </c>
      <c r="T60" s="2">
        <f>Calculate[[#This Row],[Rx_PSD_us]]-Calculate[[#This Row],[Noise_us]]</f>
        <v>25.218617791597296</v>
      </c>
      <c r="U60" s="2">
        <f>Calculate[[#This Row],[Rx_PSD_ds]]-Calculate[[#This Row],[Noise_ds]]</f>
        <v>25.218617791597296</v>
      </c>
      <c r="V60" s="2">
        <f>POWER(10,Calculate[[#This Row],[SNRdB_us]]/10)</f>
        <v>332.55369616554174</v>
      </c>
      <c r="W60" s="2">
        <f>POWER(10,Calculate[[#This Row],[SNRdB_ds]]/10)</f>
        <v>332.55369616554174</v>
      </c>
      <c r="X60" s="2">
        <f>-(0.002*Calculate[[#This Row],[Freq]]/1000000/2.5+0.68*(Calculate[[#This Row],[Freq]]/1000000/2.5)^0.45)</f>
        <v>-17.765015458113655</v>
      </c>
    </row>
    <row r="61" spans="1:24" x14ac:dyDescent="0.25">
      <c r="A61" s="34">
        <f t="shared" si="9"/>
        <v>2700000000</v>
      </c>
      <c r="B61" s="1">
        <f>Calculate[[#This Row],[Freq]]-A60</f>
        <v>45000000</v>
      </c>
      <c r="C61">
        <f>Channels!B61*cable_length</f>
        <v>-14.845086154921869</v>
      </c>
      <c r="D61" s="2">
        <f>Masks!A61</f>
        <v>-98.470325397914564</v>
      </c>
      <c r="E61" s="2">
        <f>Masks!B61</f>
        <v>-98.470325397914564</v>
      </c>
      <c r="F61" s="2">
        <f>Calculate[[#This Row],[Tx_PSD_us]]+Calculate[[#This Row],[IL]]</f>
        <v>-113.31541155283644</v>
      </c>
      <c r="G61" s="2">
        <f>Calculate[[#This Row],[Tx_PSD_ds]]+Calculate[[#This Row],[IL]]</f>
        <v>-113.31541155283644</v>
      </c>
      <c r="H61" s="2">
        <f>Masks[[#This Row],[channel_echo]]</f>
        <v>-13.105135516357523</v>
      </c>
      <c r="I61" s="2">
        <f>Masks[[#This Row],[channel_echo]]</f>
        <v>-13.105135516357523</v>
      </c>
      <c r="J61" s="2">
        <f>Calculate[[#This Row],[Echo_transfer_us]]+Calculate[[#This Row],[Tx_PSD_ds]]</f>
        <v>-111.57546091427209</v>
      </c>
      <c r="K61" s="2">
        <f>Calculate[[#This Row],[Echo_transfer_ds]]+Calculate[[#This Row],[Tx_PSD_us]]</f>
        <v>-111.57546091427209</v>
      </c>
      <c r="L61" s="2">
        <f t="shared" si="5"/>
        <v>-140</v>
      </c>
      <c r="M61" s="2">
        <f t="shared" si="6"/>
        <v>-140</v>
      </c>
      <c r="N61" s="2">
        <f t="shared" si="7"/>
        <v>5</v>
      </c>
      <c r="O61" s="2">
        <f t="shared" si="8"/>
        <v>5</v>
      </c>
      <c r="P61" s="2">
        <f>10*LOG10((10^(Calculate[[#This Row],[Rx_echo_us]]/10))-(10^((Masks[[#This Row],[connector_echo]]+Calculate[[#This Row],[Tx_PSD_ds]])/10))*EC_conector_ratio_us)-Calculate[[#This Row],[EC_cancelation_us]]</f>
        <v>-143.47032539791684</v>
      </c>
      <c r="Q61" s="2">
        <f>10*LOG10((10^(Calculate[[#This Row],[Rx_echo_ds]]/10))-(10^((Masks[[#This Row],[connector_echo]]+Calculate[[#This Row],[Tx_PSD_us]])/10))*EC_conector_ratio_ds)-Calculate[[#This Row],[EC_cancelation_ds]]</f>
        <v>-143.47032539791684</v>
      </c>
      <c r="R61" s="2">
        <f>10*LOG10(POWER(10,Calculate[[#This Row],[AFE_noise_us]]/10)+POWER(10,Calculate[[#This Row],[Echo_res_us]]/10))</f>
        <v>-138.38708034075728</v>
      </c>
      <c r="S61" s="2">
        <f>10*LOG10(POWER(10,Calculate[[#This Row],[AFE_noise_ds]]/10)+POWER(10,Calculate[[#This Row],[Echo_res_ds]]/10))</f>
        <v>-138.38708034075728</v>
      </c>
      <c r="T61" s="2">
        <f>Calculate[[#This Row],[Rx_PSD_us]]-Calculate[[#This Row],[Noise_us]]</f>
        <v>25.071668787920842</v>
      </c>
      <c r="U61" s="2">
        <f>Calculate[[#This Row],[Rx_PSD_ds]]-Calculate[[#This Row],[Noise_ds]]</f>
        <v>25.071668787920842</v>
      </c>
      <c r="V61" s="2">
        <f>POWER(10,Calculate[[#This Row],[SNRdB_us]]/10)</f>
        <v>321.48956333978379</v>
      </c>
      <c r="W61" s="2">
        <f>POWER(10,Calculate[[#This Row],[SNRdB_ds]]/10)</f>
        <v>321.48956333978379</v>
      </c>
      <c r="X61" s="2">
        <f>-(0.002*Calculate[[#This Row],[Freq]]/1000000/2.5+0.68*(Calculate[[#This Row],[Freq]]/1000000/2.5)^0.45)</f>
        <v>-17.919760115894938</v>
      </c>
    </row>
    <row r="62" spans="1:24" x14ac:dyDescent="0.25">
      <c r="A62" s="34">
        <f t="shared" si="9"/>
        <v>2745000000</v>
      </c>
      <c r="B62" s="1">
        <f>Calculate[[#This Row],[Freq]]-A61</f>
        <v>45000000</v>
      </c>
      <c r="C62">
        <f>Channels!B62*cable_length</f>
        <v>-14.991194310385065</v>
      </c>
      <c r="D62" s="2">
        <f>Masks!A62</f>
        <v>-98.470325397914564</v>
      </c>
      <c r="E62" s="2">
        <f>Masks!B62</f>
        <v>-98.470325397914564</v>
      </c>
      <c r="F62" s="2">
        <f>Calculate[[#This Row],[Tx_PSD_us]]+Calculate[[#This Row],[IL]]</f>
        <v>-113.46151970829963</v>
      </c>
      <c r="G62" s="2">
        <f>Calculate[[#This Row],[Tx_PSD_ds]]+Calculate[[#This Row],[IL]]</f>
        <v>-113.46151970829963</v>
      </c>
      <c r="H62" s="2">
        <f>Masks[[#This Row],[channel_echo]]</f>
        <v>-13.03774705843878</v>
      </c>
      <c r="I62" s="2">
        <f>Masks[[#This Row],[channel_echo]]</f>
        <v>-13.03774705843878</v>
      </c>
      <c r="J62" s="2">
        <f>Calculate[[#This Row],[Echo_transfer_us]]+Calculate[[#This Row],[Tx_PSD_ds]]</f>
        <v>-111.50807245635335</v>
      </c>
      <c r="K62" s="2">
        <f>Calculate[[#This Row],[Echo_transfer_ds]]+Calculate[[#This Row],[Tx_PSD_us]]</f>
        <v>-111.50807245635335</v>
      </c>
      <c r="L62" s="2">
        <f t="shared" si="5"/>
        <v>-140</v>
      </c>
      <c r="M62" s="2">
        <f t="shared" si="6"/>
        <v>-140</v>
      </c>
      <c r="N62" s="2">
        <f t="shared" si="7"/>
        <v>5</v>
      </c>
      <c r="O62" s="2">
        <f t="shared" si="8"/>
        <v>5</v>
      </c>
      <c r="P62" s="2">
        <f>10*LOG10((10^(Calculate[[#This Row],[Rx_echo_us]]/10))-(10^((Masks[[#This Row],[connector_echo]]+Calculate[[#This Row],[Tx_PSD_ds]])/10))*EC_conector_ratio_us)-Calculate[[#This Row],[EC_cancelation_us]]</f>
        <v>-143.47032539792372</v>
      </c>
      <c r="Q62" s="2">
        <f>10*LOG10((10^(Calculate[[#This Row],[Rx_echo_ds]]/10))-(10^((Masks[[#This Row],[connector_echo]]+Calculate[[#This Row],[Tx_PSD_us]])/10))*EC_conector_ratio_ds)-Calculate[[#This Row],[EC_cancelation_ds]]</f>
        <v>-143.47032539792372</v>
      </c>
      <c r="R62" s="2">
        <f>10*LOG10(POWER(10,Calculate[[#This Row],[AFE_noise_us]]/10)+POWER(10,Calculate[[#This Row],[Echo_res_us]]/10))</f>
        <v>-138.38708034075944</v>
      </c>
      <c r="S62" s="2">
        <f>10*LOG10(POWER(10,Calculate[[#This Row],[AFE_noise_ds]]/10)+POWER(10,Calculate[[#This Row],[Echo_res_ds]]/10))</f>
        <v>-138.38708034075944</v>
      </c>
      <c r="T62" s="2">
        <f>Calculate[[#This Row],[Rx_PSD_us]]-Calculate[[#This Row],[Noise_us]]</f>
        <v>24.925560632459806</v>
      </c>
      <c r="U62" s="2">
        <f>Calculate[[#This Row],[Rx_PSD_ds]]-Calculate[[#This Row],[Noise_ds]]</f>
        <v>24.925560632459806</v>
      </c>
      <c r="V62" s="2">
        <f>POWER(10,Calculate[[#This Row],[SNRdB_us]]/10)</f>
        <v>310.85371591278118</v>
      </c>
      <c r="W62" s="2">
        <f>POWER(10,Calculate[[#This Row],[SNRdB_ds]]/10)</f>
        <v>310.85371591278118</v>
      </c>
      <c r="X62" s="2">
        <f>-(0.002*Calculate[[#This Row],[Freq]]/1000000/2.5+0.68*(Calculate[[#This Row],[Freq]]/1000000/2.5)^0.45)</f>
        <v>-18.073421191022202</v>
      </c>
    </row>
    <row r="63" spans="1:24" x14ac:dyDescent="0.25">
      <c r="A63" s="34">
        <f t="shared" si="9"/>
        <v>2790000000</v>
      </c>
      <c r="B63" s="1">
        <f>Calculate[[#This Row],[Freq]]-A62</f>
        <v>45000000</v>
      </c>
      <c r="C63">
        <f>Channels!B63*cable_length</f>
        <v>-15.136482211569669</v>
      </c>
      <c r="D63" s="2">
        <f>Masks!A63</f>
        <v>-98.470325397914564</v>
      </c>
      <c r="E63" s="2">
        <f>Masks!B63</f>
        <v>-98.470325397914564</v>
      </c>
      <c r="F63" s="2">
        <f>Calculate[[#This Row],[Tx_PSD_us]]+Calculate[[#This Row],[IL]]</f>
        <v>-113.60680760948424</v>
      </c>
      <c r="G63" s="2">
        <f>Calculate[[#This Row],[Tx_PSD_ds]]+Calculate[[#This Row],[IL]]</f>
        <v>-113.60680760948424</v>
      </c>
      <c r="H63" s="2">
        <f>Masks[[#This Row],[channel_echo]]</f>
        <v>-12.97138829427071</v>
      </c>
      <c r="I63" s="2">
        <f>Masks[[#This Row],[channel_echo]]</f>
        <v>-12.97138829427071</v>
      </c>
      <c r="J63" s="2">
        <f>Calculate[[#This Row],[Echo_transfer_us]]+Calculate[[#This Row],[Tx_PSD_ds]]</f>
        <v>-111.44171369218527</v>
      </c>
      <c r="K63" s="2">
        <f>Calculate[[#This Row],[Echo_transfer_ds]]+Calculate[[#This Row],[Tx_PSD_us]]</f>
        <v>-111.44171369218527</v>
      </c>
      <c r="L63" s="2">
        <f t="shared" si="5"/>
        <v>-140</v>
      </c>
      <c r="M63" s="2">
        <f t="shared" si="6"/>
        <v>-140</v>
      </c>
      <c r="N63" s="2">
        <f t="shared" si="7"/>
        <v>5</v>
      </c>
      <c r="O63" s="2">
        <f t="shared" si="8"/>
        <v>5</v>
      </c>
      <c r="P63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63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63" s="2">
        <f>10*LOG10(POWER(10,Calculate[[#This Row],[AFE_noise_us]]/10)+POWER(10,Calculate[[#This Row],[Echo_res_us]]/10))</f>
        <v>-138.38708034075592</v>
      </c>
      <c r="S63" s="2">
        <f>10*LOG10(POWER(10,Calculate[[#This Row],[AFE_noise_ds]]/10)+POWER(10,Calculate[[#This Row],[Echo_res_ds]]/10))</f>
        <v>-138.38708034075592</v>
      </c>
      <c r="T63" s="2">
        <f>Calculate[[#This Row],[Rx_PSD_us]]-Calculate[[#This Row],[Noise_us]]</f>
        <v>24.78027273127168</v>
      </c>
      <c r="U63" s="2">
        <f>Calculate[[#This Row],[Rx_PSD_ds]]-Calculate[[#This Row],[Noise_ds]]</f>
        <v>24.78027273127168</v>
      </c>
      <c r="V63" s="2">
        <f>POWER(10,Calculate[[#This Row],[SNRdB_us]]/10)</f>
        <v>300.6265086227902</v>
      </c>
      <c r="W63" s="2">
        <f>POWER(10,Calculate[[#This Row],[SNRdB_ds]]/10)</f>
        <v>300.6265086227902</v>
      </c>
      <c r="X63" s="2">
        <f>-(0.002*Calculate[[#This Row],[Freq]]/1000000/2.5+0.68*(Calculate[[#This Row],[Freq]]/1000000/2.5)^0.45)</f>
        <v>-18.226026095861801</v>
      </c>
    </row>
    <row r="64" spans="1:24" x14ac:dyDescent="0.25">
      <c r="A64" s="34">
        <f t="shared" si="9"/>
        <v>2835000000</v>
      </c>
      <c r="B64" s="1">
        <f>Calculate[[#This Row],[Freq]]-A63</f>
        <v>45000000</v>
      </c>
      <c r="C64">
        <f>Channels!B64*cable_length</f>
        <v>-15.280969625252791</v>
      </c>
      <c r="D64" s="2">
        <f>Masks!A64</f>
        <v>-98.470325397914564</v>
      </c>
      <c r="E64" s="2">
        <f>Masks!B64</f>
        <v>-98.470325397914564</v>
      </c>
      <c r="F64" s="2">
        <f>Calculate[[#This Row],[Tx_PSD_us]]+Calculate[[#This Row],[IL]]</f>
        <v>-113.75129502316736</v>
      </c>
      <c r="G64" s="2">
        <f>Calculate[[#This Row],[Tx_PSD_ds]]+Calculate[[#This Row],[IL]]</f>
        <v>-113.75129502316736</v>
      </c>
      <c r="H64" s="2">
        <f>Masks[[#This Row],[channel_echo]]</f>
        <v>-12.906028229469321</v>
      </c>
      <c r="I64" s="2">
        <f>Masks[[#This Row],[channel_echo]]</f>
        <v>-12.906028229469321</v>
      </c>
      <c r="J64" s="2">
        <f>Calculate[[#This Row],[Echo_transfer_us]]+Calculate[[#This Row],[Tx_PSD_ds]]</f>
        <v>-111.37635362738388</v>
      </c>
      <c r="K64" s="2">
        <f>Calculate[[#This Row],[Echo_transfer_ds]]+Calculate[[#This Row],[Tx_PSD_us]]</f>
        <v>-111.37635362738388</v>
      </c>
      <c r="L64" s="2">
        <f t="shared" si="5"/>
        <v>-140</v>
      </c>
      <c r="M64" s="2">
        <f t="shared" si="6"/>
        <v>-140</v>
      </c>
      <c r="N64" s="2">
        <f t="shared" si="7"/>
        <v>5</v>
      </c>
      <c r="O64" s="2">
        <f t="shared" si="8"/>
        <v>5</v>
      </c>
      <c r="P64" s="2">
        <f>10*LOG10((10^(Calculate[[#This Row],[Rx_echo_us]]/10))-(10^((Masks[[#This Row],[connector_echo]]+Calculate[[#This Row],[Tx_PSD_ds]])/10))*EC_conector_ratio_us)-Calculate[[#This Row],[EC_cancelation_us]]</f>
        <v>-143.47032539791363</v>
      </c>
      <c r="Q64" s="2">
        <f>10*LOG10((10^(Calculate[[#This Row],[Rx_echo_ds]]/10))-(10^((Masks[[#This Row],[connector_echo]]+Calculate[[#This Row],[Tx_PSD_us]])/10))*EC_conector_ratio_ds)-Calculate[[#This Row],[EC_cancelation_ds]]</f>
        <v>-143.47032539791363</v>
      </c>
      <c r="R64" s="2">
        <f>10*LOG10(POWER(10,Calculate[[#This Row],[AFE_noise_us]]/10)+POWER(10,Calculate[[#This Row],[Echo_res_us]]/10))</f>
        <v>-138.38708034075631</v>
      </c>
      <c r="S64" s="2">
        <f>10*LOG10(POWER(10,Calculate[[#This Row],[AFE_noise_ds]]/10)+POWER(10,Calculate[[#This Row],[Echo_res_ds]]/10))</f>
        <v>-138.38708034075631</v>
      </c>
      <c r="T64" s="2">
        <f>Calculate[[#This Row],[Rx_PSD_us]]-Calculate[[#This Row],[Noise_us]]</f>
        <v>24.635785317588955</v>
      </c>
      <c r="U64" s="2">
        <f>Calculate[[#This Row],[Rx_PSD_ds]]-Calculate[[#This Row],[Noise_ds]]</f>
        <v>24.635785317588955</v>
      </c>
      <c r="V64" s="2">
        <f>POWER(10,Calculate[[#This Row],[SNRdB_us]]/10)</f>
        <v>290.78937348651453</v>
      </c>
      <c r="W64" s="2">
        <f>POWER(10,Calculate[[#This Row],[SNRdB_ds]]/10)</f>
        <v>290.78937348651453</v>
      </c>
      <c r="X64" s="2">
        <f>-(0.002*Calculate[[#This Row],[Freq]]/1000000/2.5+0.68*(Calculate[[#This Row],[Freq]]/1000000/2.5)^0.45)</f>
        <v>-18.377601120187851</v>
      </c>
    </row>
    <row r="65" spans="1:24" x14ac:dyDescent="0.25">
      <c r="A65" s="34">
        <f t="shared" si="9"/>
        <v>2880000000</v>
      </c>
      <c r="B65" s="1">
        <f>Calculate[[#This Row],[Freq]]-A64</f>
        <v>45000000</v>
      </c>
      <c r="C65">
        <f>Channels!B65*cable_length</f>
        <v>-15.424675536828801</v>
      </c>
      <c r="D65" s="2">
        <f>Masks!A65</f>
        <v>-98.470325397914564</v>
      </c>
      <c r="E65" s="2">
        <f>Masks!B65</f>
        <v>-98.470325397914564</v>
      </c>
      <c r="F65" s="2">
        <f>Calculate[[#This Row],[Tx_PSD_us]]+Calculate[[#This Row],[IL]]</f>
        <v>-113.89500093474336</v>
      </c>
      <c r="G65" s="2">
        <f>Calculate[[#This Row],[Tx_PSD_ds]]+Calculate[[#This Row],[IL]]</f>
        <v>-113.89500093474336</v>
      </c>
      <c r="H65" s="2">
        <f>Masks[[#This Row],[channel_echo]]</f>
        <v>-12.841637248350064</v>
      </c>
      <c r="I65" s="2">
        <f>Masks[[#This Row],[channel_echo]]</f>
        <v>-12.841637248350064</v>
      </c>
      <c r="J65" s="2">
        <f>Calculate[[#This Row],[Echo_transfer_us]]+Calculate[[#This Row],[Tx_PSD_ds]]</f>
        <v>-111.31196264626463</v>
      </c>
      <c r="K65" s="2">
        <f>Calculate[[#This Row],[Echo_transfer_ds]]+Calculate[[#This Row],[Tx_PSD_us]]</f>
        <v>-111.31196264626463</v>
      </c>
      <c r="L65" s="2">
        <f t="shared" si="5"/>
        <v>-140</v>
      </c>
      <c r="M65" s="2">
        <f t="shared" si="6"/>
        <v>-140</v>
      </c>
      <c r="N65" s="2">
        <f t="shared" si="7"/>
        <v>5</v>
      </c>
      <c r="O65" s="2">
        <f t="shared" si="8"/>
        <v>5</v>
      </c>
      <c r="P65" s="2">
        <f>10*LOG10((10^(Calculate[[#This Row],[Rx_echo_us]]/10))-(10^((Masks[[#This Row],[connector_echo]]+Calculate[[#This Row],[Tx_PSD_ds]])/10))*EC_conector_ratio_us)-Calculate[[#This Row],[EC_cancelation_us]]</f>
        <v>-143.47032539792474</v>
      </c>
      <c r="Q65" s="2">
        <f>10*LOG10((10^(Calculate[[#This Row],[Rx_echo_ds]]/10))-(10^((Masks[[#This Row],[connector_echo]]+Calculate[[#This Row],[Tx_PSD_us]])/10))*EC_conector_ratio_ds)-Calculate[[#This Row],[EC_cancelation_ds]]</f>
        <v>-143.47032539792474</v>
      </c>
      <c r="R65" s="2">
        <f>10*LOG10(POWER(10,Calculate[[#This Row],[AFE_noise_us]]/10)+POWER(10,Calculate[[#This Row],[Echo_res_us]]/10))</f>
        <v>-138.38708034075975</v>
      </c>
      <c r="S65" s="2">
        <f>10*LOG10(POWER(10,Calculate[[#This Row],[AFE_noise_ds]]/10)+POWER(10,Calculate[[#This Row],[Echo_res_ds]]/10))</f>
        <v>-138.38708034075975</v>
      </c>
      <c r="T65" s="2">
        <f>Calculate[[#This Row],[Rx_PSD_us]]-Calculate[[#This Row],[Noise_us]]</f>
        <v>24.492079406016387</v>
      </c>
      <c r="U65" s="2">
        <f>Calculate[[#This Row],[Rx_PSD_ds]]-Calculate[[#This Row],[Noise_ds]]</f>
        <v>24.492079406016387</v>
      </c>
      <c r="V65" s="2">
        <f>POWER(10,Calculate[[#This Row],[SNRdB_us]]/10)</f>
        <v>281.32474934964159</v>
      </c>
      <c r="W65" s="2">
        <f>POWER(10,Calculate[[#This Row],[SNRdB_ds]]/10)</f>
        <v>281.32474934964159</v>
      </c>
      <c r="X65" s="2">
        <f>-(0.002*Calculate[[#This Row],[Freq]]/1000000/2.5+0.68*(Calculate[[#This Row],[Freq]]/1000000/2.5)^0.45)</f>
        <v>-18.528171494173424</v>
      </c>
    </row>
    <row r="66" spans="1:24" x14ac:dyDescent="0.25">
      <c r="A66" s="34">
        <f t="shared" si="9"/>
        <v>2925000000</v>
      </c>
      <c r="B66" s="1">
        <f>Calculate[[#This Row],[Freq]]-A65</f>
        <v>45000000</v>
      </c>
      <c r="C66">
        <f>Channels!B66*cable_length</f>
        <v>-15.567618192880904</v>
      </c>
      <c r="D66" s="2">
        <f>Masks!A66</f>
        <v>-98.470325397914564</v>
      </c>
      <c r="E66" s="2">
        <f>Masks!B66</f>
        <v>-98.470325397914564</v>
      </c>
      <c r="F66" s="2">
        <f>Calculate[[#This Row],[Tx_PSD_us]]+Calculate[[#This Row],[IL]]</f>
        <v>-114.03794359079546</v>
      </c>
      <c r="G66" s="2">
        <f>Calculate[[#This Row],[Tx_PSD_ds]]+Calculate[[#This Row],[IL]]</f>
        <v>-114.03794359079546</v>
      </c>
      <c r="H66" s="2">
        <f>Masks[[#This Row],[channel_echo]]</f>
        <v>-12.778187033350925</v>
      </c>
      <c r="I66" s="2">
        <f>Masks[[#This Row],[channel_echo]]</f>
        <v>-12.778187033350925</v>
      </c>
      <c r="J66" s="2">
        <f>Calculate[[#This Row],[Echo_transfer_us]]+Calculate[[#This Row],[Tx_PSD_ds]]</f>
        <v>-111.24851243126548</v>
      </c>
      <c r="K66" s="2">
        <f>Calculate[[#This Row],[Echo_transfer_ds]]+Calculate[[#This Row],[Tx_PSD_us]]</f>
        <v>-111.24851243126548</v>
      </c>
      <c r="L66" s="2">
        <f t="shared" ref="L66:L97" si="10">AFE_noise_us</f>
        <v>-140</v>
      </c>
      <c r="M66" s="2">
        <f t="shared" ref="M66:M97" si="11">AFE_noise_ds</f>
        <v>-140</v>
      </c>
      <c r="N66" s="2">
        <f t="shared" ref="N66:N97" si="12">EC_cancel_us</f>
        <v>5</v>
      </c>
      <c r="O66" s="2">
        <f t="shared" ref="O66:O97" si="13">EC_cancel_ds</f>
        <v>5</v>
      </c>
      <c r="P66" s="2">
        <f>10*LOG10((10^(Calculate[[#This Row],[Rx_echo_us]]/10))-(10^((Masks[[#This Row],[connector_echo]]+Calculate[[#This Row],[Tx_PSD_ds]])/10))*EC_conector_ratio_us)-Calculate[[#This Row],[EC_cancelation_us]]</f>
        <v>-143.47032539790843</v>
      </c>
      <c r="Q66" s="2">
        <f>10*LOG10((10^(Calculate[[#This Row],[Rx_echo_ds]]/10))-(10^((Masks[[#This Row],[connector_echo]]+Calculate[[#This Row],[Tx_PSD_us]])/10))*EC_conector_ratio_ds)-Calculate[[#This Row],[EC_cancelation_ds]]</f>
        <v>-143.47032539790843</v>
      </c>
      <c r="R66" s="2">
        <f>10*LOG10(POWER(10,Calculate[[#This Row],[AFE_noise_us]]/10)+POWER(10,Calculate[[#This Row],[Echo_res_us]]/10))</f>
        <v>-138.38708034075469</v>
      </c>
      <c r="S66" s="2">
        <f>10*LOG10(POWER(10,Calculate[[#This Row],[AFE_noise_ds]]/10)+POWER(10,Calculate[[#This Row],[Echo_res_ds]]/10))</f>
        <v>-138.38708034075469</v>
      </c>
      <c r="T66" s="2">
        <f>Calculate[[#This Row],[Rx_PSD_us]]-Calculate[[#This Row],[Noise_us]]</f>
        <v>24.349136749959229</v>
      </c>
      <c r="U66" s="2">
        <f>Calculate[[#This Row],[Rx_PSD_ds]]-Calculate[[#This Row],[Noise_ds]]</f>
        <v>24.349136749959229</v>
      </c>
      <c r="V66" s="2">
        <f>POWER(10,Calculate[[#This Row],[SNRdB_us]]/10)</f>
        <v>272.21601687044932</v>
      </c>
      <c r="W66" s="2">
        <f>POWER(10,Calculate[[#This Row],[SNRdB_ds]]/10)</f>
        <v>272.21601687044932</v>
      </c>
      <c r="X66" s="2">
        <f>-(0.002*Calculate[[#This Row],[Freq]]/1000000/2.5+0.68*(Calculate[[#This Row],[Freq]]/1000000/2.5)^0.45)</f>
        <v>-18.677761446921799</v>
      </c>
    </row>
    <row r="67" spans="1:24" x14ac:dyDescent="0.25">
      <c r="A67" s="34">
        <f t="shared" ref="A67:A98" si="14">f_step+A66</f>
        <v>2970000000</v>
      </c>
      <c r="B67" s="1">
        <f>Calculate[[#This Row],[Freq]]-A66</f>
        <v>45000000</v>
      </c>
      <c r="C67">
        <f>Channels!B67*cable_length</f>
        <v>-15.709815140816211</v>
      </c>
      <c r="D67" s="2">
        <f>Masks!A67</f>
        <v>-98.470325397914564</v>
      </c>
      <c r="E67" s="2">
        <f>Masks!B67</f>
        <v>-98.470325397914564</v>
      </c>
      <c r="F67" s="2">
        <f>Calculate[[#This Row],[Tx_PSD_us]]+Calculate[[#This Row],[IL]]</f>
        <v>-114.18014053873077</v>
      </c>
      <c r="G67" s="2">
        <f>Calculate[[#This Row],[Tx_PSD_ds]]+Calculate[[#This Row],[IL]]</f>
        <v>-114.18014053873077</v>
      </c>
      <c r="H67" s="2">
        <f>Masks[[#This Row],[channel_echo]]</f>
        <v>-12.715650490257456</v>
      </c>
      <c r="I67" s="2">
        <f>Masks[[#This Row],[channel_echo]]</f>
        <v>-12.715650490257456</v>
      </c>
      <c r="J67" s="2">
        <f>Calculate[[#This Row],[Echo_transfer_us]]+Calculate[[#This Row],[Tx_PSD_ds]]</f>
        <v>-111.18597588817202</v>
      </c>
      <c r="K67" s="2">
        <f>Calculate[[#This Row],[Echo_transfer_ds]]+Calculate[[#This Row],[Tx_PSD_us]]</f>
        <v>-111.18597588817202</v>
      </c>
      <c r="L67" s="2">
        <f t="shared" si="10"/>
        <v>-140</v>
      </c>
      <c r="M67" s="2">
        <f t="shared" si="11"/>
        <v>-140</v>
      </c>
      <c r="N67" s="2">
        <f t="shared" si="12"/>
        <v>5</v>
      </c>
      <c r="O67" s="2">
        <f t="shared" si="13"/>
        <v>5</v>
      </c>
      <c r="P67" s="2">
        <f>10*LOG10((10^(Calculate[[#This Row],[Rx_echo_us]]/10))-(10^((Masks[[#This Row],[connector_echo]]+Calculate[[#This Row],[Tx_PSD_ds]])/10))*EC_conector_ratio_us)-Calculate[[#This Row],[EC_cancelation_us]]</f>
        <v>-143.47032539791928</v>
      </c>
      <c r="Q67" s="2">
        <f>10*LOG10((10^(Calculate[[#This Row],[Rx_echo_ds]]/10))-(10^((Masks[[#This Row],[connector_echo]]+Calculate[[#This Row],[Tx_PSD_us]])/10))*EC_conector_ratio_ds)-Calculate[[#This Row],[EC_cancelation_ds]]</f>
        <v>-143.47032539791928</v>
      </c>
      <c r="R67" s="2">
        <f>10*LOG10(POWER(10,Calculate[[#This Row],[AFE_noise_us]]/10)+POWER(10,Calculate[[#This Row],[Echo_res_us]]/10))</f>
        <v>-138.38708034075805</v>
      </c>
      <c r="S67" s="2">
        <f>10*LOG10(POWER(10,Calculate[[#This Row],[AFE_noise_ds]]/10)+POWER(10,Calculate[[#This Row],[Echo_res_ds]]/10))</f>
        <v>-138.38708034075805</v>
      </c>
      <c r="T67" s="2">
        <f>Calculate[[#This Row],[Rx_PSD_us]]-Calculate[[#This Row],[Noise_us]]</f>
        <v>24.206939802027279</v>
      </c>
      <c r="U67" s="2">
        <f>Calculate[[#This Row],[Rx_PSD_ds]]-Calculate[[#This Row],[Noise_ds]]</f>
        <v>24.206939802027279</v>
      </c>
      <c r="V67" s="2">
        <f>POWER(10,Calculate[[#This Row],[SNRdB_us]]/10)</f>
        <v>263.44743845120183</v>
      </c>
      <c r="W67" s="2">
        <f>POWER(10,Calculate[[#This Row],[SNRdB_ds]]/10)</f>
        <v>263.44743845120183</v>
      </c>
      <c r="X67" s="2">
        <f>-(0.002*Calculate[[#This Row],[Freq]]/1000000/2.5+0.68*(Calculate[[#This Row],[Freq]]/1000000/2.5)^0.45)</f>
        <v>-18.826394260917212</v>
      </c>
    </row>
    <row r="68" spans="1:24" x14ac:dyDescent="0.25">
      <c r="A68" s="34">
        <f t="shared" si="14"/>
        <v>3015000000</v>
      </c>
      <c r="B68" s="1">
        <f>Calculate[[#This Row],[Freq]]-A67</f>
        <v>45000000</v>
      </c>
      <c r="C68">
        <f>Channels!B68*cable_length</f>
        <v>-15.851283265808258</v>
      </c>
      <c r="D68" s="2">
        <f>Masks!A68</f>
        <v>-98.470325397914564</v>
      </c>
      <c r="E68" s="2">
        <f>Masks!B68</f>
        <v>-98.470325397914564</v>
      </c>
      <c r="F68" s="2">
        <f>Calculate[[#This Row],[Tx_PSD_us]]+Calculate[[#This Row],[IL]]</f>
        <v>-114.32160866372283</v>
      </c>
      <c r="G68" s="2">
        <f>Calculate[[#This Row],[Tx_PSD_ds]]+Calculate[[#This Row],[IL]]</f>
        <v>-114.32160866372283</v>
      </c>
      <c r="H68" s="2">
        <f>Masks[[#This Row],[channel_echo]]</f>
        <v>-12.654001678735424</v>
      </c>
      <c r="I68" s="2">
        <f>Masks[[#This Row],[channel_echo]]</f>
        <v>-12.654001678735424</v>
      </c>
      <c r="J68" s="2">
        <f>Calculate[[#This Row],[Echo_transfer_us]]+Calculate[[#This Row],[Tx_PSD_ds]]</f>
        <v>-111.12432707664999</v>
      </c>
      <c r="K68" s="2">
        <f>Calculate[[#This Row],[Echo_transfer_ds]]+Calculate[[#This Row],[Tx_PSD_us]]</f>
        <v>-111.12432707664999</v>
      </c>
      <c r="L68" s="2">
        <f t="shared" si="10"/>
        <v>-140</v>
      </c>
      <c r="M68" s="2">
        <f t="shared" si="11"/>
        <v>-140</v>
      </c>
      <c r="N68" s="2">
        <f t="shared" si="12"/>
        <v>5</v>
      </c>
      <c r="O68" s="2">
        <f t="shared" si="13"/>
        <v>5</v>
      </c>
      <c r="P68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68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68" s="2">
        <f>10*LOG10(POWER(10,Calculate[[#This Row],[AFE_noise_us]]/10)+POWER(10,Calculate[[#This Row],[Echo_res_us]]/10))</f>
        <v>-138.38708034075668</v>
      </c>
      <c r="S68" s="2">
        <f>10*LOG10(POWER(10,Calculate[[#This Row],[AFE_noise_ds]]/10)+POWER(10,Calculate[[#This Row],[Echo_res_ds]]/10))</f>
        <v>-138.38708034075668</v>
      </c>
      <c r="T68" s="2">
        <f>Calculate[[#This Row],[Rx_PSD_us]]-Calculate[[#This Row],[Noise_us]]</f>
        <v>24.065471677033855</v>
      </c>
      <c r="U68" s="2">
        <f>Calculate[[#This Row],[Rx_PSD_ds]]-Calculate[[#This Row],[Noise_ds]]</f>
        <v>24.065471677033855</v>
      </c>
      <c r="V68" s="2">
        <f>POWER(10,Calculate[[#This Row],[SNRdB_us]]/10)</f>
        <v>255.00410267252363</v>
      </c>
      <c r="W68" s="2">
        <f>POWER(10,Calculate[[#This Row],[SNRdB_ds]]/10)</f>
        <v>255.00410267252363</v>
      </c>
      <c r="X68" s="2">
        <f>-(0.002*Calculate[[#This Row],[Freq]]/1000000/2.5+0.68*(Calculate[[#This Row],[Freq]]/1000000/2.5)^0.45)</f>
        <v>-18.974092322736688</v>
      </c>
    </row>
    <row r="69" spans="1:24" x14ac:dyDescent="0.25">
      <c r="A69" s="34">
        <f t="shared" si="14"/>
        <v>3060000000</v>
      </c>
      <c r="B69" s="1">
        <f>Calculate[[#This Row],[Freq]]-A68</f>
        <v>45000000</v>
      </c>
      <c r="C69">
        <f>Channels!B69*cable_length</f>
        <v>-15.992038825267043</v>
      </c>
      <c r="D69" s="2">
        <f>Masks!A69</f>
        <v>-98.470325397914564</v>
      </c>
      <c r="E69" s="2">
        <f>Masks!B69</f>
        <v>-98.470325397914564</v>
      </c>
      <c r="F69" s="2">
        <f>Calculate[[#This Row],[Tx_PSD_us]]+Calculate[[#This Row],[IL]]</f>
        <v>-114.46236422318161</v>
      </c>
      <c r="G69" s="2">
        <f>Calculate[[#This Row],[Tx_PSD_ds]]+Calculate[[#This Row],[IL]]</f>
        <v>-114.46236422318161</v>
      </c>
      <c r="H69" s="2">
        <f>Masks[[#This Row],[channel_echo]]</f>
        <v>-12.593215747725452</v>
      </c>
      <c r="I69" s="2">
        <f>Masks[[#This Row],[channel_echo]]</f>
        <v>-12.593215747725452</v>
      </c>
      <c r="J69" s="2">
        <f>Calculate[[#This Row],[Echo_transfer_us]]+Calculate[[#This Row],[Tx_PSD_ds]]</f>
        <v>-111.06354114564002</v>
      </c>
      <c r="K69" s="2">
        <f>Calculate[[#This Row],[Echo_transfer_ds]]+Calculate[[#This Row],[Tx_PSD_us]]</f>
        <v>-111.06354114564002</v>
      </c>
      <c r="L69" s="2">
        <f t="shared" si="10"/>
        <v>-140</v>
      </c>
      <c r="M69" s="2">
        <f t="shared" si="11"/>
        <v>-140</v>
      </c>
      <c r="N69" s="2">
        <f t="shared" si="12"/>
        <v>5</v>
      </c>
      <c r="O69" s="2">
        <f t="shared" si="13"/>
        <v>5</v>
      </c>
      <c r="P69" s="2">
        <f>10*LOG10((10^(Calculate[[#This Row],[Rx_echo_us]]/10))-(10^((Masks[[#This Row],[connector_echo]]+Calculate[[#This Row],[Tx_PSD_ds]])/10))*EC_conector_ratio_us)-Calculate[[#This Row],[EC_cancelation_us]]</f>
        <v>-143.47032539792275</v>
      </c>
      <c r="Q69" s="2">
        <f>10*LOG10((10^(Calculate[[#This Row],[Rx_echo_ds]]/10))-(10^((Masks[[#This Row],[connector_echo]]+Calculate[[#This Row],[Tx_PSD_us]])/10))*EC_conector_ratio_ds)-Calculate[[#This Row],[EC_cancelation_ds]]</f>
        <v>-143.47032539792275</v>
      </c>
      <c r="R69" s="2">
        <f>10*LOG10(POWER(10,Calculate[[#This Row],[AFE_noise_us]]/10)+POWER(10,Calculate[[#This Row],[Echo_res_us]]/10))</f>
        <v>-138.38708034075913</v>
      </c>
      <c r="S69" s="2">
        <f>10*LOG10(POWER(10,Calculate[[#This Row],[AFE_noise_ds]]/10)+POWER(10,Calculate[[#This Row],[Echo_res_ds]]/10))</f>
        <v>-138.38708034075913</v>
      </c>
      <c r="T69" s="2">
        <f>Calculate[[#This Row],[Rx_PSD_us]]-Calculate[[#This Row],[Noise_us]]</f>
        <v>23.924716117577518</v>
      </c>
      <c r="U69" s="2">
        <f>Calculate[[#This Row],[Rx_PSD_ds]]-Calculate[[#This Row],[Noise_ds]]</f>
        <v>23.924716117577518</v>
      </c>
      <c r="V69" s="2">
        <f>POWER(10,Calculate[[#This Row],[SNRdB_us]]/10)</f>
        <v>246.8718728515766</v>
      </c>
      <c r="W69" s="2">
        <f>POWER(10,Calculate[[#This Row],[SNRdB_ds]]/10)</f>
        <v>246.8718728515766</v>
      </c>
      <c r="X69" s="2">
        <f>-(0.002*Calculate[[#This Row],[Freq]]/1000000/2.5+0.68*(Calculate[[#This Row],[Freq]]/1000000/2.5)^0.45)</f>
        <v>-19.120877170331664</v>
      </c>
    </row>
    <row r="70" spans="1:24" x14ac:dyDescent="0.25">
      <c r="A70" s="34">
        <f t="shared" si="14"/>
        <v>3105000000</v>
      </c>
      <c r="B70" s="1">
        <f>Calculate[[#This Row],[Freq]]-A69</f>
        <v>45000000</v>
      </c>
      <c r="C70">
        <f>Channels!B70*cable_length</f>
        <v>-16.132097481036062</v>
      </c>
      <c r="D70" s="2">
        <f>Masks!A70</f>
        <v>-98.470325397914564</v>
      </c>
      <c r="E70" s="2">
        <f>Masks!B70</f>
        <v>-98.470325397914564</v>
      </c>
      <c r="F70" s="2">
        <f>Calculate[[#This Row],[Tx_PSD_us]]+Calculate[[#This Row],[IL]]</f>
        <v>-114.60242287895062</v>
      </c>
      <c r="G70" s="2">
        <f>Calculate[[#This Row],[Tx_PSD_ds]]+Calculate[[#This Row],[IL]]</f>
        <v>-114.60242287895062</v>
      </c>
      <c r="H70" s="2">
        <f>Masks[[#This Row],[channel_echo]]</f>
        <v>-12.533268875296768</v>
      </c>
      <c r="I70" s="2">
        <f>Masks[[#This Row],[channel_echo]]</f>
        <v>-12.533268875296768</v>
      </c>
      <c r="J70" s="2">
        <f>Calculate[[#This Row],[Echo_transfer_us]]+Calculate[[#This Row],[Tx_PSD_ds]]</f>
        <v>-111.00359427321133</v>
      </c>
      <c r="K70" s="2">
        <f>Calculate[[#This Row],[Echo_transfer_ds]]+Calculate[[#This Row],[Tx_PSD_us]]</f>
        <v>-111.00359427321133</v>
      </c>
      <c r="L70" s="2">
        <f t="shared" si="10"/>
        <v>-140</v>
      </c>
      <c r="M70" s="2">
        <f t="shared" si="11"/>
        <v>-140</v>
      </c>
      <c r="N70" s="2">
        <f t="shared" si="12"/>
        <v>5</v>
      </c>
      <c r="O70" s="2">
        <f t="shared" si="13"/>
        <v>5</v>
      </c>
      <c r="P70" s="2">
        <f>10*LOG10((10^(Calculate[[#This Row],[Rx_echo_us]]/10))-(10^((Masks[[#This Row],[connector_echo]]+Calculate[[#This Row],[Tx_PSD_ds]])/10))*EC_conector_ratio_us)-Calculate[[#This Row],[EC_cancelation_us]]</f>
        <v>-143.47032539792619</v>
      </c>
      <c r="Q70" s="2">
        <f>10*LOG10((10^(Calculate[[#This Row],[Rx_echo_ds]]/10))-(10^((Masks[[#This Row],[connector_echo]]+Calculate[[#This Row],[Tx_PSD_us]])/10))*EC_conector_ratio_ds)-Calculate[[#This Row],[EC_cancelation_ds]]</f>
        <v>-143.47032539792619</v>
      </c>
      <c r="R70" s="2">
        <f>10*LOG10(POWER(10,Calculate[[#This Row],[AFE_noise_us]]/10)+POWER(10,Calculate[[#This Row],[Echo_res_us]]/10))</f>
        <v>-138.38708034076018</v>
      </c>
      <c r="S70" s="2">
        <f>10*LOG10(POWER(10,Calculate[[#This Row],[AFE_noise_ds]]/10)+POWER(10,Calculate[[#This Row],[Echo_res_ds]]/10))</f>
        <v>-138.38708034076018</v>
      </c>
      <c r="T70" s="2">
        <f>Calculate[[#This Row],[Rx_PSD_us]]-Calculate[[#This Row],[Noise_us]]</f>
        <v>23.784657461809559</v>
      </c>
      <c r="U70" s="2">
        <f>Calculate[[#This Row],[Rx_PSD_ds]]-Calculate[[#This Row],[Noise_ds]]</f>
        <v>23.784657461809559</v>
      </c>
      <c r="V70" s="2">
        <f>POWER(10,Calculate[[#This Row],[SNRdB_us]]/10)</f>
        <v>239.03733935828137</v>
      </c>
      <c r="W70" s="2">
        <f>POWER(10,Calculate[[#This Row],[SNRdB_ds]]/10)</f>
        <v>239.03733935828137</v>
      </c>
      <c r="X70" s="2">
        <f>-(0.002*Calculate[[#This Row],[Freq]]/1000000/2.5+0.68*(Calculate[[#This Row],[Freq]]/1000000/2.5)^0.45)</f>
        <v>-19.266769537158076</v>
      </c>
    </row>
    <row r="71" spans="1:24" x14ac:dyDescent="0.25">
      <c r="A71" s="34">
        <f t="shared" si="14"/>
        <v>3150000000</v>
      </c>
      <c r="B71" s="1">
        <f>Calculate[[#This Row],[Freq]]-A70</f>
        <v>45000000</v>
      </c>
      <c r="C71">
        <f>Channels!B71*cable_length</f>
        <v>-16.271474329496741</v>
      </c>
      <c r="D71" s="2">
        <f>Masks!A71</f>
        <v>-98.470325397914564</v>
      </c>
      <c r="E71" s="2">
        <f>Masks!B71</f>
        <v>-98.470325397914564</v>
      </c>
      <c r="F71" s="2">
        <f>Calculate[[#This Row],[Tx_PSD_us]]+Calculate[[#This Row],[IL]]</f>
        <v>-114.7417997274113</v>
      </c>
      <c r="G71" s="2">
        <f>Calculate[[#This Row],[Tx_PSD_ds]]+Calculate[[#This Row],[IL]]</f>
        <v>-114.7417997274113</v>
      </c>
      <c r="H71" s="2">
        <f>Masks[[#This Row],[channel_echo]]</f>
        <v>-12.474138212595909</v>
      </c>
      <c r="I71" s="2">
        <f>Masks[[#This Row],[channel_echo]]</f>
        <v>-12.474138212595909</v>
      </c>
      <c r="J71" s="2">
        <f>Calculate[[#This Row],[Echo_transfer_us]]+Calculate[[#This Row],[Tx_PSD_ds]]</f>
        <v>-110.94446361051047</v>
      </c>
      <c r="K71" s="2">
        <f>Calculate[[#This Row],[Echo_transfer_ds]]+Calculate[[#This Row],[Tx_PSD_us]]</f>
        <v>-110.94446361051047</v>
      </c>
      <c r="L71" s="2">
        <f t="shared" si="10"/>
        <v>-140</v>
      </c>
      <c r="M71" s="2">
        <f t="shared" si="11"/>
        <v>-140</v>
      </c>
      <c r="N71" s="2">
        <f t="shared" si="12"/>
        <v>5</v>
      </c>
      <c r="O71" s="2">
        <f t="shared" si="13"/>
        <v>5</v>
      </c>
      <c r="P71" s="2">
        <f>10*LOG10((10^(Calculate[[#This Row],[Rx_echo_us]]/10))-(10^((Masks[[#This Row],[connector_echo]]+Calculate[[#This Row],[Tx_PSD_ds]])/10))*EC_conector_ratio_us)-Calculate[[#This Row],[EC_cancelation_us]]</f>
        <v>-143.47032539791041</v>
      </c>
      <c r="Q71" s="2">
        <f>10*LOG10((10^(Calculate[[#This Row],[Rx_echo_ds]]/10))-(10^((Masks[[#This Row],[connector_echo]]+Calculate[[#This Row],[Tx_PSD_us]])/10))*EC_conector_ratio_ds)-Calculate[[#This Row],[EC_cancelation_ds]]</f>
        <v>-143.47032539791041</v>
      </c>
      <c r="R71" s="2">
        <f>10*LOG10(POWER(10,Calculate[[#This Row],[AFE_noise_us]]/10)+POWER(10,Calculate[[#This Row],[Echo_res_us]]/10))</f>
        <v>-138.38708034075529</v>
      </c>
      <c r="S71" s="2">
        <f>10*LOG10(POWER(10,Calculate[[#This Row],[AFE_noise_ds]]/10)+POWER(10,Calculate[[#This Row],[Echo_res_ds]]/10))</f>
        <v>-138.38708034075529</v>
      </c>
      <c r="T71" s="2">
        <f>Calculate[[#This Row],[Rx_PSD_us]]-Calculate[[#This Row],[Noise_us]]</f>
        <v>23.645280613343985</v>
      </c>
      <c r="U71" s="2">
        <f>Calculate[[#This Row],[Rx_PSD_ds]]-Calculate[[#This Row],[Noise_ds]]</f>
        <v>23.645280613343985</v>
      </c>
      <c r="V71" s="2">
        <f>POWER(10,Calculate[[#This Row],[SNRdB_us]]/10)</f>
        <v>231.48777537921529</v>
      </c>
      <c r="W71" s="2">
        <f>POWER(10,Calculate[[#This Row],[SNRdB_ds]]/10)</f>
        <v>231.48777537921529</v>
      </c>
      <c r="X71" s="2">
        <f>-(0.002*Calculate[[#This Row],[Freq]]/1000000/2.5+0.68*(Calculate[[#This Row],[Freq]]/1000000/2.5)^0.45)</f>
        <v>-19.411789393407666</v>
      </c>
    </row>
    <row r="72" spans="1:24" x14ac:dyDescent="0.25">
      <c r="A72" s="34">
        <f t="shared" si="14"/>
        <v>3195000000</v>
      </c>
      <c r="B72" s="1">
        <f>Calculate[[#This Row],[Freq]]-A71</f>
        <v>45000000</v>
      </c>
      <c r="C72">
        <f>Channels!B72*cable_length</f>
        <v>-16.410183929744232</v>
      </c>
      <c r="D72" s="2">
        <f>Masks!A72</f>
        <v>-98.470325397914564</v>
      </c>
      <c r="E72" s="2">
        <f>Masks!B72</f>
        <v>-98.470325397914564</v>
      </c>
      <c r="F72" s="2">
        <f>Calculate[[#This Row],[Tx_PSD_us]]+Calculate[[#This Row],[IL]]</f>
        <v>-114.8805093276588</v>
      </c>
      <c r="G72" s="2">
        <f>Calculate[[#This Row],[Tx_PSD_ds]]+Calculate[[#This Row],[IL]]</f>
        <v>-114.8805093276588</v>
      </c>
      <c r="H72" s="2">
        <f>Masks[[#This Row],[channel_echo]]</f>
        <v>-12.415801831560207</v>
      </c>
      <c r="I72" s="2">
        <f>Masks[[#This Row],[channel_echo]]</f>
        <v>-12.415801831560207</v>
      </c>
      <c r="J72" s="2">
        <f>Calculate[[#This Row],[Echo_transfer_us]]+Calculate[[#This Row],[Tx_PSD_ds]]</f>
        <v>-110.88612722947477</v>
      </c>
      <c r="K72" s="2">
        <f>Calculate[[#This Row],[Echo_transfer_ds]]+Calculate[[#This Row],[Tx_PSD_us]]</f>
        <v>-110.88612722947477</v>
      </c>
      <c r="L72" s="2">
        <f t="shared" si="10"/>
        <v>-140</v>
      </c>
      <c r="M72" s="2">
        <f t="shared" si="11"/>
        <v>-140</v>
      </c>
      <c r="N72" s="2">
        <f t="shared" si="12"/>
        <v>5</v>
      </c>
      <c r="O72" s="2">
        <f t="shared" si="13"/>
        <v>5</v>
      </c>
      <c r="P72" s="2">
        <f>10*LOG10((10^(Calculate[[#This Row],[Rx_echo_us]]/10))-(10^((Masks[[#This Row],[connector_echo]]+Calculate[[#This Row],[Tx_PSD_ds]])/10))*EC_conector_ratio_us)-Calculate[[#This Row],[EC_cancelation_us]]</f>
        <v>-143.4703253979178</v>
      </c>
      <c r="Q72" s="2">
        <f>10*LOG10((10^(Calculate[[#This Row],[Rx_echo_ds]]/10))-(10^((Masks[[#This Row],[connector_echo]]+Calculate[[#This Row],[Tx_PSD_us]])/10))*EC_conector_ratio_ds)-Calculate[[#This Row],[EC_cancelation_ds]]</f>
        <v>-143.4703253979178</v>
      </c>
      <c r="R72" s="2">
        <f>10*LOG10(POWER(10,Calculate[[#This Row],[AFE_noise_us]]/10)+POWER(10,Calculate[[#This Row],[Echo_res_us]]/10))</f>
        <v>-138.38708034075759</v>
      </c>
      <c r="S72" s="2">
        <f>10*LOG10(POWER(10,Calculate[[#This Row],[AFE_noise_ds]]/10)+POWER(10,Calculate[[#This Row],[Echo_res_ds]]/10))</f>
        <v>-138.38708034075759</v>
      </c>
      <c r="T72" s="2">
        <f>Calculate[[#This Row],[Rx_PSD_us]]-Calculate[[#This Row],[Noise_us]]</f>
        <v>23.506571013098792</v>
      </c>
      <c r="U72" s="2">
        <f>Calculate[[#This Row],[Rx_PSD_ds]]-Calculate[[#This Row],[Noise_ds]]</f>
        <v>23.506571013098792</v>
      </c>
      <c r="V72" s="2">
        <f>POWER(10,Calculate[[#This Row],[SNRdB_us]]/10)</f>
        <v>224.21109583809806</v>
      </c>
      <c r="W72" s="2">
        <f>POWER(10,Calculate[[#This Row],[SNRdB_ds]]/10)</f>
        <v>224.21109583809806</v>
      </c>
      <c r="X72" s="2">
        <f>-(0.002*Calculate[[#This Row],[Freq]]/1000000/2.5+0.68*(Calculate[[#This Row],[Freq]]/1000000/2.5)^0.45)</f>
        <v>-19.555955984569291</v>
      </c>
    </row>
    <row r="73" spans="1:24" x14ac:dyDescent="0.25">
      <c r="A73" s="34">
        <f t="shared" si="14"/>
        <v>3240000000</v>
      </c>
      <c r="B73" s="1">
        <f>Calculate[[#This Row],[Freq]]-A72</f>
        <v>45000000</v>
      </c>
      <c r="C73">
        <f>Channels!B73*cable_length</f>
        <v>-16.548240329983415</v>
      </c>
      <c r="D73" s="2">
        <f>Masks!A73</f>
        <v>-98.470325397914564</v>
      </c>
      <c r="E73" s="2">
        <f>Masks!B73</f>
        <v>-98.470325397914564</v>
      </c>
      <c r="F73" s="2">
        <f>Calculate[[#This Row],[Tx_PSD_us]]+Calculate[[#This Row],[IL]]</f>
        <v>-115.01856572789798</v>
      </c>
      <c r="G73" s="2">
        <f>Calculate[[#This Row],[Tx_PSD_ds]]+Calculate[[#This Row],[IL]]</f>
        <v>-115.01856572789798</v>
      </c>
      <c r="H73" s="2">
        <f>Masks[[#This Row],[channel_echo]]</f>
        <v>-12.358238676096693</v>
      </c>
      <c r="I73" s="2">
        <f>Masks[[#This Row],[channel_echo]]</f>
        <v>-12.358238676096693</v>
      </c>
      <c r="J73" s="2">
        <f>Calculate[[#This Row],[Echo_transfer_us]]+Calculate[[#This Row],[Tx_PSD_ds]]</f>
        <v>-110.82856407401125</v>
      </c>
      <c r="K73" s="2">
        <f>Calculate[[#This Row],[Echo_transfer_ds]]+Calculate[[#This Row],[Tx_PSD_us]]</f>
        <v>-110.82856407401125</v>
      </c>
      <c r="L73" s="2">
        <f t="shared" si="10"/>
        <v>-140</v>
      </c>
      <c r="M73" s="2">
        <f t="shared" si="11"/>
        <v>-140</v>
      </c>
      <c r="N73" s="2">
        <f t="shared" si="12"/>
        <v>5</v>
      </c>
      <c r="O73" s="2">
        <f t="shared" si="13"/>
        <v>5</v>
      </c>
      <c r="P73" s="2">
        <f>10*LOG10((10^(Calculate[[#This Row],[Rx_echo_us]]/10))-(10^((Masks[[#This Row],[connector_echo]]+Calculate[[#This Row],[Tx_PSD_ds]])/10))*EC_conector_ratio_us)-Calculate[[#This Row],[EC_cancelation_us]]</f>
        <v>-143.47032539791289</v>
      </c>
      <c r="Q73" s="2">
        <f>10*LOG10((10^(Calculate[[#This Row],[Rx_echo_ds]]/10))-(10^((Masks[[#This Row],[connector_echo]]+Calculate[[#This Row],[Tx_PSD_us]])/10))*EC_conector_ratio_ds)-Calculate[[#This Row],[EC_cancelation_ds]]</f>
        <v>-143.47032539791289</v>
      </c>
      <c r="R73" s="2">
        <f>10*LOG10(POWER(10,Calculate[[#This Row],[AFE_noise_us]]/10)+POWER(10,Calculate[[#This Row],[Echo_res_us]]/10))</f>
        <v>-138.38708034075606</v>
      </c>
      <c r="S73" s="2">
        <f>10*LOG10(POWER(10,Calculate[[#This Row],[AFE_noise_ds]]/10)+POWER(10,Calculate[[#This Row],[Echo_res_ds]]/10))</f>
        <v>-138.38708034075606</v>
      </c>
      <c r="T73" s="2">
        <f>Calculate[[#This Row],[Rx_PSD_us]]-Calculate[[#This Row],[Noise_us]]</f>
        <v>23.368514612858078</v>
      </c>
      <c r="U73" s="2">
        <f>Calculate[[#This Row],[Rx_PSD_ds]]-Calculate[[#This Row],[Noise_ds]]</f>
        <v>23.368514612858078</v>
      </c>
      <c r="V73" s="2">
        <f>POWER(10,Calculate[[#This Row],[SNRdB_us]]/10)</f>
        <v>217.19581920919072</v>
      </c>
      <c r="W73" s="2">
        <f>POWER(10,Calculate[[#This Row],[SNRdB_ds]]/10)</f>
        <v>217.19581920919072</v>
      </c>
      <c r="X73" s="2">
        <f>-(0.002*Calculate[[#This Row],[Freq]]/1000000/2.5+0.68*(Calculate[[#This Row],[Freq]]/1000000/2.5)^0.45)</f>
        <v>-19.699287867528263</v>
      </c>
    </row>
    <row r="74" spans="1:24" x14ac:dyDescent="0.25">
      <c r="A74" s="34">
        <f t="shared" si="14"/>
        <v>3285000000</v>
      </c>
      <c r="B74" s="1">
        <f>Calculate[[#This Row],[Freq]]-A73</f>
        <v>45000000</v>
      </c>
      <c r="C74">
        <f>Channels!B74*cable_length</f>
        <v>-16.685657092280653</v>
      </c>
      <c r="D74" s="2">
        <f>Masks!A74</f>
        <v>-98.470325397914564</v>
      </c>
      <c r="E74" s="2">
        <f>Masks!B74</f>
        <v>-98.470325397914564</v>
      </c>
      <c r="F74" s="2">
        <f>Calculate[[#This Row],[Tx_PSD_us]]+Calculate[[#This Row],[IL]]</f>
        <v>-115.15598249019521</v>
      </c>
      <c r="G74" s="2">
        <f>Calculate[[#This Row],[Tx_PSD_ds]]+Calculate[[#This Row],[IL]]</f>
        <v>-115.15598249019521</v>
      </c>
      <c r="H74" s="2">
        <f>Masks[[#This Row],[channel_echo]]</f>
        <v>-12.301428516454404</v>
      </c>
      <c r="I74" s="2">
        <f>Masks[[#This Row],[channel_echo]]</f>
        <v>-12.301428516454404</v>
      </c>
      <c r="J74" s="2">
        <f>Calculate[[#This Row],[Echo_transfer_us]]+Calculate[[#This Row],[Tx_PSD_ds]]</f>
        <v>-110.77175391436897</v>
      </c>
      <c r="K74" s="2">
        <f>Calculate[[#This Row],[Echo_transfer_ds]]+Calculate[[#This Row],[Tx_PSD_us]]</f>
        <v>-110.77175391436897</v>
      </c>
      <c r="L74" s="2">
        <f t="shared" si="10"/>
        <v>-140</v>
      </c>
      <c r="M74" s="2">
        <f t="shared" si="11"/>
        <v>-140</v>
      </c>
      <c r="N74" s="2">
        <f t="shared" si="12"/>
        <v>5</v>
      </c>
      <c r="O74" s="2">
        <f t="shared" si="13"/>
        <v>5</v>
      </c>
      <c r="P74" s="2">
        <f>10*LOG10((10^(Calculate[[#This Row],[Rx_echo_us]]/10))-(10^((Masks[[#This Row],[connector_echo]]+Calculate[[#This Row],[Tx_PSD_ds]])/10))*EC_conector_ratio_us)-Calculate[[#This Row],[EC_cancelation_us]]</f>
        <v>-143.47032539791141</v>
      </c>
      <c r="Q74" s="2">
        <f>10*LOG10((10^(Calculate[[#This Row],[Rx_echo_ds]]/10))-(10^((Masks[[#This Row],[connector_echo]]+Calculate[[#This Row],[Tx_PSD_us]])/10))*EC_conector_ratio_ds)-Calculate[[#This Row],[EC_cancelation_ds]]</f>
        <v>-143.47032539791141</v>
      </c>
      <c r="R74" s="2">
        <f>10*LOG10(POWER(10,Calculate[[#This Row],[AFE_noise_us]]/10)+POWER(10,Calculate[[#This Row],[Echo_res_us]]/10))</f>
        <v>-138.3870803407556</v>
      </c>
      <c r="S74" s="2">
        <f>10*LOG10(POWER(10,Calculate[[#This Row],[AFE_noise_ds]]/10)+POWER(10,Calculate[[#This Row],[Echo_res_ds]]/10))</f>
        <v>-138.3870803407556</v>
      </c>
      <c r="T74" s="2">
        <f>Calculate[[#This Row],[Rx_PSD_us]]-Calculate[[#This Row],[Noise_us]]</f>
        <v>23.231097850560388</v>
      </c>
      <c r="U74" s="2">
        <f>Calculate[[#This Row],[Rx_PSD_ds]]-Calculate[[#This Row],[Noise_ds]]</f>
        <v>23.231097850560388</v>
      </c>
      <c r="V74" s="2">
        <f>POWER(10,Calculate[[#This Row],[SNRdB_us]]/10)</f>
        <v>210.43103199504208</v>
      </c>
      <c r="W74" s="2">
        <f>POWER(10,Calculate[[#This Row],[SNRdB_ds]]/10)</f>
        <v>210.43103199504208</v>
      </c>
      <c r="X74" s="2">
        <f>-(0.002*Calculate[[#This Row],[Freq]]/1000000/2.5+0.68*(Calculate[[#This Row],[Freq]]/1000000/2.5)^0.45)</f>
        <v>-19.841802944392789</v>
      </c>
    </row>
    <row r="75" spans="1:24" x14ac:dyDescent="0.25">
      <c r="A75" s="34">
        <f t="shared" si="14"/>
        <v>3330000000</v>
      </c>
      <c r="B75" s="1">
        <f>Calculate[[#This Row],[Freq]]-A74</f>
        <v>45000000</v>
      </c>
      <c r="C75">
        <f>Channels!B75*cable_length</f>
        <v>-16.822447315794733</v>
      </c>
      <c r="D75" s="2">
        <f>Masks!A75</f>
        <v>-98.470325397914564</v>
      </c>
      <c r="E75" s="2">
        <f>Masks!B75</f>
        <v>-98.470325397914564</v>
      </c>
      <c r="F75" s="2">
        <f>Calculate[[#This Row],[Tx_PSD_us]]+Calculate[[#This Row],[IL]]</f>
        <v>-115.2927727137093</v>
      </c>
      <c r="G75" s="2">
        <f>Calculate[[#This Row],[Tx_PSD_ds]]+Calculate[[#This Row],[IL]]</f>
        <v>-115.2927727137093</v>
      </c>
      <c r="H75" s="2">
        <f>Masks[[#This Row],[channel_echo]]</f>
        <v>-12.245351906542608</v>
      </c>
      <c r="I75" s="2">
        <f>Masks[[#This Row],[channel_echo]]</f>
        <v>-12.245351906542608</v>
      </c>
      <c r="J75" s="2">
        <f>Calculate[[#This Row],[Echo_transfer_us]]+Calculate[[#This Row],[Tx_PSD_ds]]</f>
        <v>-110.71567730445717</v>
      </c>
      <c r="K75" s="2">
        <f>Calculate[[#This Row],[Echo_transfer_ds]]+Calculate[[#This Row],[Tx_PSD_us]]</f>
        <v>-110.71567730445717</v>
      </c>
      <c r="L75" s="2">
        <f t="shared" si="10"/>
        <v>-140</v>
      </c>
      <c r="M75" s="2">
        <f t="shared" si="11"/>
        <v>-140</v>
      </c>
      <c r="N75" s="2">
        <f t="shared" si="12"/>
        <v>5</v>
      </c>
      <c r="O75" s="2">
        <f t="shared" si="13"/>
        <v>5</v>
      </c>
      <c r="P75" s="2">
        <f>10*LOG10((10^(Calculate[[#This Row],[Rx_echo_us]]/10))-(10^((Masks[[#This Row],[connector_echo]]+Calculate[[#This Row],[Tx_PSD_ds]])/10))*EC_conector_ratio_us)-Calculate[[#This Row],[EC_cancelation_us]]</f>
        <v>-143.47032539791928</v>
      </c>
      <c r="Q75" s="2">
        <f>10*LOG10((10^(Calculate[[#This Row],[Rx_echo_ds]]/10))-(10^((Masks[[#This Row],[connector_echo]]+Calculate[[#This Row],[Tx_PSD_us]])/10))*EC_conector_ratio_ds)-Calculate[[#This Row],[EC_cancelation_ds]]</f>
        <v>-143.47032539791928</v>
      </c>
      <c r="R75" s="2">
        <f>10*LOG10(POWER(10,Calculate[[#This Row],[AFE_noise_us]]/10)+POWER(10,Calculate[[#This Row],[Echo_res_us]]/10))</f>
        <v>-138.38708034075805</v>
      </c>
      <c r="S75" s="2">
        <f>10*LOG10(POWER(10,Calculate[[#This Row],[AFE_noise_ds]]/10)+POWER(10,Calculate[[#This Row],[Echo_res_ds]]/10))</f>
        <v>-138.38708034075805</v>
      </c>
      <c r="T75" s="2">
        <f>Calculate[[#This Row],[Rx_PSD_us]]-Calculate[[#This Row],[Noise_us]]</f>
        <v>23.09430762704875</v>
      </c>
      <c r="U75" s="2">
        <f>Calculate[[#This Row],[Rx_PSD_ds]]-Calculate[[#This Row],[Noise_ds]]</f>
        <v>23.09430762704875</v>
      </c>
      <c r="V75" s="2">
        <f>POWER(10,Calculate[[#This Row],[SNRdB_us]]/10)</f>
        <v>203.90635564690339</v>
      </c>
      <c r="W75" s="2">
        <f>POWER(10,Calculate[[#This Row],[SNRdB_ds]]/10)</f>
        <v>203.90635564690339</v>
      </c>
      <c r="X75" s="2">
        <f>-(0.002*Calculate[[#This Row],[Freq]]/1000000/2.5+0.68*(Calculate[[#This Row],[Freq]]/1000000/2.5)^0.45)</f>
        <v>-19.983518494219737</v>
      </c>
    </row>
    <row r="76" spans="1:24" x14ac:dyDescent="0.25">
      <c r="A76" s="34">
        <f t="shared" si="14"/>
        <v>3375000000</v>
      </c>
      <c r="B76" s="1">
        <f>Calculate[[#This Row],[Freq]]-A75</f>
        <v>45000000</v>
      </c>
      <c r="C76">
        <f>Channels!B76*cable_length</f>
        <v>-16.95862365859972</v>
      </c>
      <c r="D76" s="2">
        <f>Masks!A76</f>
        <v>-98.470325397914564</v>
      </c>
      <c r="E76" s="2">
        <f>Masks!B76</f>
        <v>-98.470325397914564</v>
      </c>
      <c r="F76" s="2">
        <f>Calculate[[#This Row],[Tx_PSD_us]]+Calculate[[#This Row],[IL]]</f>
        <v>-115.42894905651428</v>
      </c>
      <c r="G76" s="2">
        <f>Calculate[[#This Row],[Tx_PSD_ds]]+Calculate[[#This Row],[IL]]</f>
        <v>-115.42894905651428</v>
      </c>
      <c r="H76" s="2">
        <f>Masks[[#This Row],[channel_echo]]</f>
        <v>-12.189990143969695</v>
      </c>
      <c r="I76" s="2">
        <f>Masks[[#This Row],[channel_echo]]</f>
        <v>-12.189990143969695</v>
      </c>
      <c r="J76" s="2">
        <f>Calculate[[#This Row],[Echo_transfer_us]]+Calculate[[#This Row],[Tx_PSD_ds]]</f>
        <v>-110.66031554188426</v>
      </c>
      <c r="K76" s="2">
        <f>Calculate[[#This Row],[Echo_transfer_ds]]+Calculate[[#This Row],[Tx_PSD_us]]</f>
        <v>-110.66031554188426</v>
      </c>
      <c r="L76" s="2">
        <f t="shared" si="10"/>
        <v>-140</v>
      </c>
      <c r="M76" s="2">
        <f t="shared" si="11"/>
        <v>-140</v>
      </c>
      <c r="N76" s="2">
        <f t="shared" si="12"/>
        <v>5</v>
      </c>
      <c r="O76" s="2">
        <f t="shared" si="13"/>
        <v>5</v>
      </c>
      <c r="P76" s="2">
        <f>10*LOG10((10^(Calculate[[#This Row],[Rx_echo_us]]/10))-(10^((Masks[[#This Row],[connector_echo]]+Calculate[[#This Row],[Tx_PSD_ds]])/10))*EC_conector_ratio_us)-Calculate[[#This Row],[EC_cancelation_us]]</f>
        <v>-143.4703253979178</v>
      </c>
      <c r="Q76" s="2">
        <f>10*LOG10((10^(Calculate[[#This Row],[Rx_echo_ds]]/10))-(10^((Masks[[#This Row],[connector_echo]]+Calculate[[#This Row],[Tx_PSD_us]])/10))*EC_conector_ratio_ds)-Calculate[[#This Row],[EC_cancelation_ds]]</f>
        <v>-143.4703253979178</v>
      </c>
      <c r="R76" s="2">
        <f>10*LOG10(POWER(10,Calculate[[#This Row],[AFE_noise_us]]/10)+POWER(10,Calculate[[#This Row],[Echo_res_us]]/10))</f>
        <v>-138.38708034075759</v>
      </c>
      <c r="S76" s="2">
        <f>10*LOG10(POWER(10,Calculate[[#This Row],[AFE_noise_ds]]/10)+POWER(10,Calculate[[#This Row],[Echo_res_ds]]/10))</f>
        <v>-138.38708034075759</v>
      </c>
      <c r="T76" s="2">
        <f>Calculate[[#This Row],[Rx_PSD_us]]-Calculate[[#This Row],[Noise_us]]</f>
        <v>22.958131284243308</v>
      </c>
      <c r="U76" s="2">
        <f>Calculate[[#This Row],[Rx_PSD_ds]]-Calculate[[#This Row],[Noise_ds]]</f>
        <v>22.958131284243308</v>
      </c>
      <c r="V76" s="2">
        <f>POWER(10,Calculate[[#This Row],[SNRdB_us]]/10)</f>
        <v>197.61191573729235</v>
      </c>
      <c r="W76" s="2">
        <f>POWER(10,Calculate[[#This Row],[SNRdB_ds]]/10)</f>
        <v>197.61191573729235</v>
      </c>
      <c r="X76" s="2">
        <f>-(0.002*Calculate[[#This Row],[Freq]]/1000000/2.5+0.68*(Calculate[[#This Row],[Freq]]/1000000/2.5)^0.45)</f>
        <v>-20.124451202796596</v>
      </c>
    </row>
    <row r="77" spans="1:24" x14ac:dyDescent="0.25">
      <c r="A77" s="34">
        <f t="shared" si="14"/>
        <v>3420000000</v>
      </c>
      <c r="B77" s="1">
        <f>Calculate[[#This Row],[Freq]]-A76</f>
        <v>45000000</v>
      </c>
      <c r="C77">
        <f>Channels!B77*cable_length</f>
        <v>-17.0941983582026</v>
      </c>
      <c r="D77" s="2">
        <f>Masks!A77</f>
        <v>-98.470325397914564</v>
      </c>
      <c r="E77" s="2">
        <f>Masks!B77</f>
        <v>-98.470325397914564</v>
      </c>
      <c r="F77" s="2">
        <f>Calculate[[#This Row],[Tx_PSD_us]]+Calculate[[#This Row],[IL]]</f>
        <v>-115.56452375611717</v>
      </c>
      <c r="G77" s="2">
        <f>Calculate[[#This Row],[Tx_PSD_ds]]+Calculate[[#This Row],[IL]]</f>
        <v>-115.56452375611717</v>
      </c>
      <c r="H77" s="2">
        <f>Masks[[#This Row],[channel_echo]]</f>
        <v>-12.135325232597179</v>
      </c>
      <c r="I77" s="2">
        <f>Masks[[#This Row],[channel_echo]]</f>
        <v>-12.135325232597179</v>
      </c>
      <c r="J77" s="2">
        <f>Calculate[[#This Row],[Echo_transfer_us]]+Calculate[[#This Row],[Tx_PSD_ds]]</f>
        <v>-110.60565063051175</v>
      </c>
      <c r="K77" s="2">
        <f>Calculate[[#This Row],[Echo_transfer_ds]]+Calculate[[#This Row],[Tx_PSD_us]]</f>
        <v>-110.60565063051175</v>
      </c>
      <c r="L77" s="2">
        <f t="shared" si="10"/>
        <v>-140</v>
      </c>
      <c r="M77" s="2">
        <f t="shared" si="11"/>
        <v>-140</v>
      </c>
      <c r="N77" s="2">
        <f t="shared" si="12"/>
        <v>5</v>
      </c>
      <c r="O77" s="2">
        <f t="shared" si="13"/>
        <v>5</v>
      </c>
      <c r="P77" s="2">
        <f>10*LOG10((10^(Calculate[[#This Row],[Rx_echo_us]]/10))-(10^((Masks[[#This Row],[connector_echo]]+Calculate[[#This Row],[Tx_PSD_ds]])/10))*EC_conector_ratio_us)-Calculate[[#This Row],[EC_cancelation_us]]</f>
        <v>-143.47032539792522</v>
      </c>
      <c r="Q77" s="2">
        <f>10*LOG10((10^(Calculate[[#This Row],[Rx_echo_ds]]/10))-(10^((Masks[[#This Row],[connector_echo]]+Calculate[[#This Row],[Tx_PSD_us]])/10))*EC_conector_ratio_ds)-Calculate[[#This Row],[EC_cancelation_ds]]</f>
        <v>-143.47032539792522</v>
      </c>
      <c r="R77" s="2">
        <f>10*LOG10(POWER(10,Calculate[[#This Row],[AFE_noise_us]]/10)+POWER(10,Calculate[[#This Row],[Echo_res_us]]/10))</f>
        <v>-138.38708034075989</v>
      </c>
      <c r="S77" s="2">
        <f>10*LOG10(POWER(10,Calculate[[#This Row],[AFE_noise_ds]]/10)+POWER(10,Calculate[[#This Row],[Echo_res_ds]]/10))</f>
        <v>-138.38708034075989</v>
      </c>
      <c r="T77" s="2">
        <f>Calculate[[#This Row],[Rx_PSD_us]]-Calculate[[#This Row],[Noise_us]]</f>
        <v>22.822556584642726</v>
      </c>
      <c r="U77" s="2">
        <f>Calculate[[#This Row],[Rx_PSD_ds]]-Calculate[[#This Row],[Noise_ds]]</f>
        <v>22.822556584642726</v>
      </c>
      <c r="V77" s="2">
        <f>POWER(10,Calculate[[#This Row],[SNRdB_us]]/10)</f>
        <v>191.53831320805591</v>
      </c>
      <c r="W77" s="2">
        <f>POWER(10,Calculate[[#This Row],[SNRdB_ds]]/10)</f>
        <v>191.53831320805591</v>
      </c>
      <c r="X77" s="2">
        <f>-(0.002*Calculate[[#This Row],[Freq]]/1000000/2.5+0.68*(Calculate[[#This Row],[Freq]]/1000000/2.5)^0.45)</f>
        <v>-20.264617190623092</v>
      </c>
    </row>
    <row r="78" spans="1:24" x14ac:dyDescent="0.25">
      <c r="A78" s="34">
        <f t="shared" si="14"/>
        <v>3465000000</v>
      </c>
      <c r="B78" s="1">
        <f>Calculate[[#This Row],[Freq]]-A77</f>
        <v>45000000</v>
      </c>
      <c r="C78">
        <f>Channels!B78*cable_length</f>
        <v>-17.229183250849935</v>
      </c>
      <c r="D78" s="2">
        <f>Masks!A78</f>
        <v>-98.470325397914564</v>
      </c>
      <c r="E78" s="2">
        <f>Masks!B78</f>
        <v>-98.470325397914564</v>
      </c>
      <c r="F78" s="2">
        <f>Calculate[[#This Row],[Tx_PSD_us]]+Calculate[[#This Row],[IL]]</f>
        <v>-115.69950864876449</v>
      </c>
      <c r="G78" s="2">
        <f>Calculate[[#This Row],[Tx_PSD_ds]]+Calculate[[#This Row],[IL]]</f>
        <v>-115.69950864876449</v>
      </c>
      <c r="H78" s="2">
        <f>Masks[[#This Row],[channel_echo]]</f>
        <v>-12.081339847421255</v>
      </c>
      <c r="I78" s="2">
        <f>Masks[[#This Row],[channel_echo]]</f>
        <v>-12.081339847421255</v>
      </c>
      <c r="J78" s="2">
        <f>Calculate[[#This Row],[Echo_transfer_us]]+Calculate[[#This Row],[Tx_PSD_ds]]</f>
        <v>-110.55166524533581</v>
      </c>
      <c r="K78" s="2">
        <f>Calculate[[#This Row],[Echo_transfer_ds]]+Calculate[[#This Row],[Tx_PSD_us]]</f>
        <v>-110.55166524533581</v>
      </c>
      <c r="L78" s="2">
        <f t="shared" si="10"/>
        <v>-140</v>
      </c>
      <c r="M78" s="2">
        <f t="shared" si="11"/>
        <v>-140</v>
      </c>
      <c r="N78" s="2">
        <f t="shared" si="12"/>
        <v>5</v>
      </c>
      <c r="O78" s="2">
        <f t="shared" si="13"/>
        <v>5</v>
      </c>
      <c r="P78" s="2">
        <f>10*LOG10((10^(Calculate[[#This Row],[Rx_echo_us]]/10))-(10^((Masks[[#This Row],[connector_echo]]+Calculate[[#This Row],[Tx_PSD_ds]])/10))*EC_conector_ratio_us)-Calculate[[#This Row],[EC_cancelation_us]]</f>
        <v>-143.47032539790993</v>
      </c>
      <c r="Q78" s="2">
        <f>10*LOG10((10^(Calculate[[#This Row],[Rx_echo_ds]]/10))-(10^((Masks[[#This Row],[connector_echo]]+Calculate[[#This Row],[Tx_PSD_us]])/10))*EC_conector_ratio_ds)-Calculate[[#This Row],[EC_cancelation_ds]]</f>
        <v>-143.47032539790993</v>
      </c>
      <c r="R78" s="2">
        <f>10*LOG10(POWER(10,Calculate[[#This Row],[AFE_noise_us]]/10)+POWER(10,Calculate[[#This Row],[Echo_res_us]]/10))</f>
        <v>-138.38708034075518</v>
      </c>
      <c r="S78" s="2">
        <f>10*LOG10(POWER(10,Calculate[[#This Row],[AFE_noise_ds]]/10)+POWER(10,Calculate[[#This Row],[Echo_res_ds]]/10))</f>
        <v>-138.38708034075518</v>
      </c>
      <c r="T78" s="2">
        <f>Calculate[[#This Row],[Rx_PSD_us]]-Calculate[[#This Row],[Noise_us]]</f>
        <v>22.687571691990684</v>
      </c>
      <c r="U78" s="2">
        <f>Calculate[[#This Row],[Rx_PSD_ds]]-Calculate[[#This Row],[Noise_ds]]</f>
        <v>22.687571691990684</v>
      </c>
      <c r="V78" s="2">
        <f>POWER(10,Calculate[[#This Row],[SNRdB_us]]/10)</f>
        <v>185.67659752965218</v>
      </c>
      <c r="W78" s="2">
        <f>POWER(10,Calculate[[#This Row],[SNRdB_ds]]/10)</f>
        <v>185.67659752965218</v>
      </c>
      <c r="X78" s="2">
        <f>-(0.002*Calculate[[#This Row],[Freq]]/1000000/2.5+0.68*(Calculate[[#This Row],[Freq]]/1000000/2.5)^0.45)</f>
        <v>-20.40403203922347</v>
      </c>
    </row>
    <row r="79" spans="1:24" x14ac:dyDescent="0.25">
      <c r="A79" s="34">
        <f t="shared" si="14"/>
        <v>3510000000</v>
      </c>
      <c r="B79" s="1">
        <f>Calculate[[#This Row],[Freq]]-A78</f>
        <v>45000000</v>
      </c>
      <c r="C79">
        <f>Channels!B79*cable_length</f>
        <v>-17.36358978970966</v>
      </c>
      <c r="D79" s="2">
        <f>Masks!A79</f>
        <v>-98.470325397914564</v>
      </c>
      <c r="E79" s="2">
        <f>Masks!B79</f>
        <v>-98.470325397914564</v>
      </c>
      <c r="F79" s="2">
        <f>Calculate[[#This Row],[Tx_PSD_us]]+Calculate[[#This Row],[IL]]</f>
        <v>-115.83391518762423</v>
      </c>
      <c r="G79" s="2">
        <f>Calculate[[#This Row],[Tx_PSD_ds]]+Calculate[[#This Row],[IL]]</f>
        <v>-115.83391518762423</v>
      </c>
      <c r="H79" s="2">
        <f>Masks[[#This Row],[channel_echo]]</f>
        <v>-12.028017301610411</v>
      </c>
      <c r="I79" s="2">
        <f>Masks[[#This Row],[channel_echo]]</f>
        <v>-12.028017301610411</v>
      </c>
      <c r="J79" s="2">
        <f>Calculate[[#This Row],[Echo_transfer_us]]+Calculate[[#This Row],[Tx_PSD_ds]]</f>
        <v>-110.49834269952498</v>
      </c>
      <c r="K79" s="2">
        <f>Calculate[[#This Row],[Echo_transfer_ds]]+Calculate[[#This Row],[Tx_PSD_us]]</f>
        <v>-110.49834269952498</v>
      </c>
      <c r="L79" s="2">
        <f t="shared" si="10"/>
        <v>-140</v>
      </c>
      <c r="M79" s="2">
        <f t="shared" si="11"/>
        <v>-140</v>
      </c>
      <c r="N79" s="2">
        <f t="shared" si="12"/>
        <v>5</v>
      </c>
      <c r="O79" s="2">
        <f t="shared" si="13"/>
        <v>5</v>
      </c>
      <c r="P79" s="2">
        <f>10*LOG10((10^(Calculate[[#This Row],[Rx_echo_us]]/10))-(10^((Masks[[#This Row],[connector_echo]]+Calculate[[#This Row],[Tx_PSD_ds]])/10))*EC_conector_ratio_us)-Calculate[[#This Row],[EC_cancelation_us]]</f>
        <v>-143.47032539792718</v>
      </c>
      <c r="Q79" s="2">
        <f>10*LOG10((10^(Calculate[[#This Row],[Rx_echo_ds]]/10))-(10^((Masks[[#This Row],[connector_echo]]+Calculate[[#This Row],[Tx_PSD_us]])/10))*EC_conector_ratio_ds)-Calculate[[#This Row],[EC_cancelation_ds]]</f>
        <v>-143.47032539792718</v>
      </c>
      <c r="R79" s="2">
        <f>10*LOG10(POWER(10,Calculate[[#This Row],[AFE_noise_us]]/10)+POWER(10,Calculate[[#This Row],[Echo_res_us]]/10))</f>
        <v>-138.38708034076049</v>
      </c>
      <c r="S79" s="2">
        <f>10*LOG10(POWER(10,Calculate[[#This Row],[AFE_noise_ds]]/10)+POWER(10,Calculate[[#This Row],[Echo_res_ds]]/10))</f>
        <v>-138.38708034076049</v>
      </c>
      <c r="T79" s="2">
        <f>Calculate[[#This Row],[Rx_PSD_us]]-Calculate[[#This Row],[Noise_us]]</f>
        <v>22.553165153136263</v>
      </c>
      <c r="U79" s="2">
        <f>Calculate[[#This Row],[Rx_PSD_ds]]-Calculate[[#This Row],[Noise_ds]]</f>
        <v>22.553165153136263</v>
      </c>
      <c r="V79" s="2">
        <f>POWER(10,Calculate[[#This Row],[SNRdB_us]]/10)</f>
        <v>180.01824163002283</v>
      </c>
      <c r="W79" s="2">
        <f>POWER(10,Calculate[[#This Row],[SNRdB_ds]]/10)</f>
        <v>180.01824163002283</v>
      </c>
      <c r="X79" s="2">
        <f>-(0.002*Calculate[[#This Row],[Freq]]/1000000/2.5+0.68*(Calculate[[#This Row],[Freq]]/1000000/2.5)^0.45)</f>
        <v>-20.542710815909196</v>
      </c>
    </row>
    <row r="80" spans="1:24" x14ac:dyDescent="0.25">
      <c r="A80" s="34">
        <f t="shared" si="14"/>
        <v>3555000000</v>
      </c>
      <c r="B80" s="1">
        <f>Calculate[[#This Row],[Freq]]-A79</f>
        <v>45000000</v>
      </c>
      <c r="C80">
        <f>Channels!B80*cable_length</f>
        <v>-17.497429062007249</v>
      </c>
      <c r="D80" s="2">
        <f>Masks!A80</f>
        <v>-98.470325397914564</v>
      </c>
      <c r="E80" s="2">
        <f>Masks!B80</f>
        <v>-98.470325397914564</v>
      </c>
      <c r="F80" s="2">
        <f>Calculate[[#This Row],[Tx_PSD_us]]+Calculate[[#This Row],[IL]]</f>
        <v>-115.96775445992182</v>
      </c>
      <c r="G80" s="2">
        <f>Calculate[[#This Row],[Tx_PSD_ds]]+Calculate[[#This Row],[IL]]</f>
        <v>-115.96775445992182</v>
      </c>
      <c r="H80" s="2">
        <f>Masks[[#This Row],[channel_echo]]</f>
        <v>-11.975341515542159</v>
      </c>
      <c r="I80" s="2">
        <f>Masks[[#This Row],[channel_echo]]</f>
        <v>-11.975341515542159</v>
      </c>
      <c r="J80" s="2">
        <f>Calculate[[#This Row],[Echo_transfer_us]]+Calculate[[#This Row],[Tx_PSD_ds]]</f>
        <v>-110.44566691345672</v>
      </c>
      <c r="K80" s="2">
        <f>Calculate[[#This Row],[Echo_transfer_ds]]+Calculate[[#This Row],[Tx_PSD_us]]</f>
        <v>-110.44566691345672</v>
      </c>
      <c r="L80" s="2">
        <f t="shared" si="10"/>
        <v>-140</v>
      </c>
      <c r="M80" s="2">
        <f t="shared" si="11"/>
        <v>-140</v>
      </c>
      <c r="N80" s="2">
        <f t="shared" si="12"/>
        <v>5</v>
      </c>
      <c r="O80" s="2">
        <f t="shared" si="13"/>
        <v>5</v>
      </c>
      <c r="P80" s="2">
        <f>10*LOG10((10^(Calculate[[#This Row],[Rx_echo_us]]/10))-(10^((Masks[[#This Row],[connector_echo]]+Calculate[[#This Row],[Tx_PSD_ds]])/10))*EC_conector_ratio_us)-Calculate[[#This Row],[EC_cancelation_us]]</f>
        <v>-143.47032539791633</v>
      </c>
      <c r="Q80" s="2">
        <f>10*LOG10((10^(Calculate[[#This Row],[Rx_echo_ds]]/10))-(10^((Masks[[#This Row],[connector_echo]]+Calculate[[#This Row],[Tx_PSD_us]])/10))*EC_conector_ratio_ds)-Calculate[[#This Row],[EC_cancelation_ds]]</f>
        <v>-143.47032539791633</v>
      </c>
      <c r="R80" s="2">
        <f>10*LOG10(POWER(10,Calculate[[#This Row],[AFE_noise_us]]/10)+POWER(10,Calculate[[#This Row],[Echo_res_us]]/10))</f>
        <v>-138.38708034075714</v>
      </c>
      <c r="S80" s="2">
        <f>10*LOG10(POWER(10,Calculate[[#This Row],[AFE_noise_ds]]/10)+POWER(10,Calculate[[#This Row],[Echo_res_ds]]/10))</f>
        <v>-138.38708034075714</v>
      </c>
      <c r="T80" s="2">
        <f>Calculate[[#This Row],[Rx_PSD_us]]-Calculate[[#This Row],[Noise_us]]</f>
        <v>22.419325880835316</v>
      </c>
      <c r="U80" s="2">
        <f>Calculate[[#This Row],[Rx_PSD_ds]]-Calculate[[#This Row],[Noise_ds]]</f>
        <v>22.419325880835316</v>
      </c>
      <c r="V80" s="2">
        <f>POWER(10,Calculate[[#This Row],[SNRdB_us]]/10)</f>
        <v>174.5551184514137</v>
      </c>
      <c r="W80" s="2">
        <f>POWER(10,Calculate[[#This Row],[SNRdB_ds]]/10)</f>
        <v>174.5551184514137</v>
      </c>
      <c r="X80" s="2">
        <f>-(0.002*Calculate[[#This Row],[Freq]]/1000000/2.5+0.68*(Calculate[[#This Row],[Freq]]/1000000/2.5)^0.45)</f>
        <v>-20.680668097102213</v>
      </c>
    </row>
    <row r="81" spans="1:24" x14ac:dyDescent="0.25">
      <c r="A81" s="34">
        <f t="shared" si="14"/>
        <v>3600000000</v>
      </c>
      <c r="B81" s="1">
        <f>Calculate[[#This Row],[Freq]]-A80</f>
        <v>45000000</v>
      </c>
      <c r="C81">
        <f>Channels!B81*cable_length</f>
        <v>-17.630711805188653</v>
      </c>
      <c r="D81" s="2">
        <f>Masks!A81</f>
        <v>-98.470325397914564</v>
      </c>
      <c r="E81" s="2">
        <f>Masks!B81</f>
        <v>-98.470325397914564</v>
      </c>
      <c r="F81" s="2">
        <f>Calculate[[#This Row],[Tx_PSD_us]]+Calculate[[#This Row],[IL]]</f>
        <v>-116.10103720310322</v>
      </c>
      <c r="G81" s="2">
        <f>Calculate[[#This Row],[Tx_PSD_ds]]+Calculate[[#This Row],[IL]]</f>
        <v>-116.10103720310322</v>
      </c>
      <c r="H81" s="2">
        <f>Masks[[#This Row],[channel_echo]]</f>
        <v>-11.923296987695164</v>
      </c>
      <c r="I81" s="2">
        <f>Masks[[#This Row],[channel_echo]]</f>
        <v>-11.923296987695164</v>
      </c>
      <c r="J81" s="2">
        <f>Calculate[[#This Row],[Echo_transfer_us]]+Calculate[[#This Row],[Tx_PSD_ds]]</f>
        <v>-110.39362238560973</v>
      </c>
      <c r="K81" s="2">
        <f>Calculate[[#This Row],[Echo_transfer_ds]]+Calculate[[#This Row],[Tx_PSD_us]]</f>
        <v>-110.39362238560973</v>
      </c>
      <c r="L81" s="2">
        <f t="shared" si="10"/>
        <v>-140</v>
      </c>
      <c r="M81" s="2">
        <f t="shared" si="11"/>
        <v>-140</v>
      </c>
      <c r="N81" s="2">
        <f t="shared" si="12"/>
        <v>5</v>
      </c>
      <c r="O81" s="2">
        <f t="shared" si="13"/>
        <v>5</v>
      </c>
      <c r="P81" s="2">
        <f>10*LOG10((10^(Calculate[[#This Row],[Rx_echo_us]]/10))-(10^((Masks[[#This Row],[connector_echo]]+Calculate[[#This Row],[Tx_PSD_ds]])/10))*EC_conector_ratio_us)-Calculate[[#This Row],[EC_cancelation_us]]</f>
        <v>-143.47032539790646</v>
      </c>
      <c r="Q81" s="2">
        <f>10*LOG10((10^(Calculate[[#This Row],[Rx_echo_ds]]/10))-(10^((Masks[[#This Row],[connector_echo]]+Calculate[[#This Row],[Tx_PSD_us]])/10))*EC_conector_ratio_ds)-Calculate[[#This Row],[EC_cancelation_ds]]</f>
        <v>-143.47032539790646</v>
      </c>
      <c r="R81" s="2">
        <f>10*LOG10(POWER(10,Calculate[[#This Row],[AFE_noise_us]]/10)+POWER(10,Calculate[[#This Row],[Echo_res_us]]/10))</f>
        <v>-138.38708034075407</v>
      </c>
      <c r="S81" s="2">
        <f>10*LOG10(POWER(10,Calculate[[#This Row],[AFE_noise_ds]]/10)+POWER(10,Calculate[[#This Row],[Echo_res_ds]]/10))</f>
        <v>-138.38708034075407</v>
      </c>
      <c r="T81" s="2">
        <f>Calculate[[#This Row],[Rx_PSD_us]]-Calculate[[#This Row],[Noise_us]]</f>
        <v>22.28604313765085</v>
      </c>
      <c r="U81" s="2">
        <f>Calculate[[#This Row],[Rx_PSD_ds]]-Calculate[[#This Row],[Noise_ds]]</f>
        <v>22.28604313765085</v>
      </c>
      <c r="V81" s="2">
        <f>POWER(10,Calculate[[#This Row],[SNRdB_us]]/10)</f>
        <v>169.27947902260431</v>
      </c>
      <c r="W81" s="2">
        <f>POWER(10,Calculate[[#This Row],[SNRdB_ds]]/10)</f>
        <v>169.27947902260431</v>
      </c>
      <c r="X81" s="2">
        <f>-(0.002*Calculate[[#This Row],[Freq]]/1000000/2.5+0.68*(Calculate[[#This Row],[Freq]]/1000000/2.5)^0.45)</f>
        <v>-20.817917990319298</v>
      </c>
    </row>
    <row r="82" spans="1:24" x14ac:dyDescent="0.25">
      <c r="A82" s="34">
        <f t="shared" si="14"/>
        <v>3645000000</v>
      </c>
      <c r="B82" s="1">
        <f>Calculate[[#This Row],[Freq]]-A81</f>
        <v>45000000</v>
      </c>
      <c r="C82">
        <f>Channels!B82*cable_length</f>
        <v>-17.763448422176872</v>
      </c>
      <c r="D82" s="2">
        <f>Masks!A82</f>
        <v>-98.470325397914564</v>
      </c>
      <c r="E82" s="2">
        <f>Masks!B82</f>
        <v>-98.470325397914564</v>
      </c>
      <c r="F82" s="2">
        <f>Calculate[[#This Row],[Tx_PSD_us]]+Calculate[[#This Row],[IL]]</f>
        <v>-116.23377382009144</v>
      </c>
      <c r="G82" s="2">
        <f>Calculate[[#This Row],[Tx_PSD_ds]]+Calculate[[#This Row],[IL]]</f>
        <v>-116.23377382009144</v>
      </c>
      <c r="H82" s="2">
        <f>Masks[[#This Row],[channel_echo]]</f>
        <v>-11.871868767264942</v>
      </c>
      <c r="I82" s="2">
        <f>Masks[[#This Row],[channel_echo]]</f>
        <v>-11.871868767264942</v>
      </c>
      <c r="J82" s="2">
        <f>Calculate[[#This Row],[Echo_transfer_us]]+Calculate[[#This Row],[Tx_PSD_ds]]</f>
        <v>-110.34219416517951</v>
      </c>
      <c r="K82" s="2">
        <f>Calculate[[#This Row],[Echo_transfer_ds]]+Calculate[[#This Row],[Tx_PSD_us]]</f>
        <v>-110.34219416517951</v>
      </c>
      <c r="L82" s="2">
        <f t="shared" si="10"/>
        <v>-140</v>
      </c>
      <c r="M82" s="2">
        <f t="shared" si="11"/>
        <v>-140</v>
      </c>
      <c r="N82" s="2">
        <f t="shared" si="12"/>
        <v>5</v>
      </c>
      <c r="O82" s="2">
        <f t="shared" si="13"/>
        <v>5</v>
      </c>
      <c r="P82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82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82" s="2">
        <f>10*LOG10(POWER(10,Calculate[[#This Row],[AFE_noise_us]]/10)+POWER(10,Calculate[[#This Row],[Echo_res_us]]/10))</f>
        <v>-138.38708034075668</v>
      </c>
      <c r="S82" s="2">
        <f>10*LOG10(POWER(10,Calculate[[#This Row],[AFE_noise_ds]]/10)+POWER(10,Calculate[[#This Row],[Echo_res_ds]]/10))</f>
        <v>-138.38708034075668</v>
      </c>
      <c r="T82" s="2">
        <f>Calculate[[#This Row],[Rx_PSD_us]]-Calculate[[#This Row],[Noise_us]]</f>
        <v>22.15330652066524</v>
      </c>
      <c r="U82" s="2">
        <f>Calculate[[#This Row],[Rx_PSD_ds]]-Calculate[[#This Row],[Noise_ds]]</f>
        <v>22.15330652066524</v>
      </c>
      <c r="V82" s="2">
        <f>POWER(10,Calculate[[#This Row],[SNRdB_us]]/10)</f>
        <v>164.18393192511653</v>
      </c>
      <c r="W82" s="2">
        <f>POWER(10,Calculate[[#This Row],[SNRdB_ds]]/10)</f>
        <v>164.18393192511653</v>
      </c>
      <c r="X82" s="2">
        <f>-(0.002*Calculate[[#This Row],[Freq]]/1000000/2.5+0.68*(Calculate[[#This Row],[Freq]]/1000000/2.5)^0.45)</f>
        <v>-20.954474154910301</v>
      </c>
    </row>
    <row r="83" spans="1:24" x14ac:dyDescent="0.25">
      <c r="A83" s="34">
        <f t="shared" si="14"/>
        <v>3690000000</v>
      </c>
      <c r="B83" s="1">
        <f>Calculate[[#This Row],[Freq]]-A82</f>
        <v>45000000</v>
      </c>
      <c r="C83">
        <f>Channels!B83*cable_length</f>
        <v>-17.895648995783404</v>
      </c>
      <c r="D83" s="2">
        <f>Masks!A83</f>
        <v>-98.470325397914564</v>
      </c>
      <c r="E83" s="2">
        <f>Masks!B83</f>
        <v>-98.470325397914564</v>
      </c>
      <c r="F83" s="2">
        <f>Calculate[[#This Row],[Tx_PSD_us]]+Calculate[[#This Row],[IL]]</f>
        <v>-116.36597439369797</v>
      </c>
      <c r="G83" s="2">
        <f>Calculate[[#This Row],[Tx_PSD_ds]]+Calculate[[#This Row],[IL]]</f>
        <v>-116.36597439369797</v>
      </c>
      <c r="H83" s="2">
        <f>Masks[[#This Row],[channel_echo]]</f>
        <v>-11.821042428382047</v>
      </c>
      <c r="I83" s="2">
        <f>Masks[[#This Row],[channel_echo]]</f>
        <v>-11.821042428382047</v>
      </c>
      <c r="J83" s="2">
        <f>Calculate[[#This Row],[Echo_transfer_us]]+Calculate[[#This Row],[Tx_PSD_ds]]</f>
        <v>-110.29136782629661</v>
      </c>
      <c r="K83" s="2">
        <f>Calculate[[#This Row],[Echo_transfer_ds]]+Calculate[[#This Row],[Tx_PSD_us]]</f>
        <v>-110.29136782629661</v>
      </c>
      <c r="L83" s="2">
        <f t="shared" si="10"/>
        <v>-140</v>
      </c>
      <c r="M83" s="2">
        <f t="shared" si="11"/>
        <v>-140</v>
      </c>
      <c r="N83" s="2">
        <f t="shared" si="12"/>
        <v>5</v>
      </c>
      <c r="O83" s="2">
        <f t="shared" si="13"/>
        <v>5</v>
      </c>
      <c r="P83" s="2">
        <f>10*LOG10((10^(Calculate[[#This Row],[Rx_echo_us]]/10))-(10^((Masks[[#This Row],[connector_echo]]+Calculate[[#This Row],[Tx_PSD_ds]])/10))*EC_conector_ratio_us)-Calculate[[#This Row],[EC_cancelation_us]]</f>
        <v>-143.47032539790499</v>
      </c>
      <c r="Q83" s="2">
        <f>10*LOG10((10^(Calculate[[#This Row],[Rx_echo_ds]]/10))-(10^((Masks[[#This Row],[connector_echo]]+Calculate[[#This Row],[Tx_PSD_us]])/10))*EC_conector_ratio_ds)-Calculate[[#This Row],[EC_cancelation_ds]]</f>
        <v>-143.47032539790499</v>
      </c>
      <c r="R83" s="2">
        <f>10*LOG10(POWER(10,Calculate[[#This Row],[AFE_noise_us]]/10)+POWER(10,Calculate[[#This Row],[Echo_res_us]]/10))</f>
        <v>-138.38708034075361</v>
      </c>
      <c r="S83" s="2">
        <f>10*LOG10(POWER(10,Calculate[[#This Row],[AFE_noise_ds]]/10)+POWER(10,Calculate[[#This Row],[Echo_res_ds]]/10))</f>
        <v>-138.38708034075361</v>
      </c>
      <c r="T83" s="2">
        <f>Calculate[[#This Row],[Rx_PSD_us]]-Calculate[[#This Row],[Noise_us]]</f>
        <v>22.021105947055645</v>
      </c>
      <c r="U83" s="2">
        <f>Calculate[[#This Row],[Rx_PSD_ds]]-Calculate[[#This Row],[Noise_ds]]</f>
        <v>22.021105947055645</v>
      </c>
      <c r="V83" s="2">
        <f>POWER(10,Calculate[[#This Row],[SNRdB_us]]/10)</f>
        <v>159.26142405577335</v>
      </c>
      <c r="W83" s="2">
        <f>POWER(10,Calculate[[#This Row],[SNRdB_ds]]/10)</f>
        <v>159.26142405577335</v>
      </c>
      <c r="X83" s="2">
        <f>-(0.002*Calculate[[#This Row],[Freq]]/1000000/2.5+0.68*(Calculate[[#This Row],[Freq]]/1000000/2.5)^0.45)</f>
        <v>-21.090349821635208</v>
      </c>
    </row>
    <row r="84" spans="1:24" x14ac:dyDescent="0.25">
      <c r="A84" s="34">
        <f t="shared" si="14"/>
        <v>3735000000</v>
      </c>
      <c r="B84" s="1">
        <f>Calculate[[#This Row],[Freq]]-A83</f>
        <v>45000000</v>
      </c>
      <c r="C84">
        <f>Channels!B84*cable_length</f>
        <v>-18.02732330233119</v>
      </c>
      <c r="D84" s="2">
        <f>Masks!A84</f>
        <v>-98.470325397914564</v>
      </c>
      <c r="E84" s="2">
        <f>Masks!B84</f>
        <v>-98.470325397914564</v>
      </c>
      <c r="F84" s="2">
        <f>Calculate[[#This Row],[Tx_PSD_us]]+Calculate[[#This Row],[IL]]</f>
        <v>-116.49764870024575</v>
      </c>
      <c r="G84" s="2">
        <f>Calculate[[#This Row],[Tx_PSD_ds]]+Calculate[[#This Row],[IL]]</f>
        <v>-116.49764870024575</v>
      </c>
      <c r="H84" s="2">
        <f>Masks[[#This Row],[channel_echo]]</f>
        <v>-11.770804045821544</v>
      </c>
      <c r="I84" s="2">
        <f>Masks[[#This Row],[channel_echo]]</f>
        <v>-11.770804045821544</v>
      </c>
      <c r="J84" s="2">
        <f>Calculate[[#This Row],[Echo_transfer_us]]+Calculate[[#This Row],[Tx_PSD_ds]]</f>
        <v>-110.24112944373611</v>
      </c>
      <c r="K84" s="2">
        <f>Calculate[[#This Row],[Echo_transfer_ds]]+Calculate[[#This Row],[Tx_PSD_us]]</f>
        <v>-110.24112944373611</v>
      </c>
      <c r="L84" s="2">
        <f t="shared" si="10"/>
        <v>-140</v>
      </c>
      <c r="M84" s="2">
        <f t="shared" si="11"/>
        <v>-140</v>
      </c>
      <c r="N84" s="2">
        <f t="shared" si="12"/>
        <v>5</v>
      </c>
      <c r="O84" s="2">
        <f t="shared" si="13"/>
        <v>5</v>
      </c>
      <c r="P84" s="2">
        <f>10*LOG10((10^(Calculate[[#This Row],[Rx_echo_us]]/10))-(10^((Masks[[#This Row],[connector_echo]]+Calculate[[#This Row],[Tx_PSD_ds]])/10))*EC_conector_ratio_us)-Calculate[[#This Row],[EC_cancelation_us]]</f>
        <v>-143.47032539792474</v>
      </c>
      <c r="Q84" s="2">
        <f>10*LOG10((10^(Calculate[[#This Row],[Rx_echo_ds]]/10))-(10^((Masks[[#This Row],[connector_echo]]+Calculate[[#This Row],[Tx_PSD_us]])/10))*EC_conector_ratio_ds)-Calculate[[#This Row],[EC_cancelation_ds]]</f>
        <v>-143.47032539792474</v>
      </c>
      <c r="R84" s="2">
        <f>10*LOG10(POWER(10,Calculate[[#This Row],[AFE_noise_us]]/10)+POWER(10,Calculate[[#This Row],[Echo_res_us]]/10))</f>
        <v>-138.38708034075975</v>
      </c>
      <c r="S84" s="2">
        <f>10*LOG10(POWER(10,Calculate[[#This Row],[AFE_noise_ds]]/10)+POWER(10,Calculate[[#This Row],[Echo_res_ds]]/10))</f>
        <v>-138.38708034075975</v>
      </c>
      <c r="T84" s="2">
        <f>Calculate[[#This Row],[Rx_PSD_us]]-Calculate[[#This Row],[Noise_us]]</f>
        <v>21.889431640514005</v>
      </c>
      <c r="U84" s="2">
        <f>Calculate[[#This Row],[Rx_PSD_ds]]-Calculate[[#This Row],[Noise_ds]]</f>
        <v>21.889431640514005</v>
      </c>
      <c r="V84" s="2">
        <f>POWER(10,Calculate[[#This Row],[SNRdB_us]]/10)</f>
        <v>154.50522259277619</v>
      </c>
      <c r="W84" s="2">
        <f>POWER(10,Calculate[[#This Row],[SNRdB_ds]]/10)</f>
        <v>154.50522259277619</v>
      </c>
      <c r="X84" s="2">
        <f>-(0.002*Calculate[[#This Row],[Freq]]/1000000/2.5+0.68*(Calculate[[#This Row],[Freq]]/1000000/2.5)^0.45)</f>
        <v>-21.22555781115846</v>
      </c>
    </row>
    <row r="85" spans="1:24" x14ac:dyDescent="0.25">
      <c r="A85" s="34">
        <f t="shared" si="14"/>
        <v>3780000000</v>
      </c>
      <c r="B85" s="1">
        <f>Calculate[[#This Row],[Freq]]-A84</f>
        <v>45000000</v>
      </c>
      <c r="C85">
        <f>Channels!B85*cable_length</f>
        <v>-18.15848082454109</v>
      </c>
      <c r="D85" s="2">
        <f>Masks!A85</f>
        <v>-98.470325397914564</v>
      </c>
      <c r="E85" s="2">
        <f>Masks!B85</f>
        <v>-98.470325397914564</v>
      </c>
      <c r="F85" s="2">
        <f>Calculate[[#This Row],[Tx_PSD_us]]+Calculate[[#This Row],[IL]]</f>
        <v>-116.62880622245565</v>
      </c>
      <c r="G85" s="2">
        <f>Calculate[[#This Row],[Tx_PSD_ds]]+Calculate[[#This Row],[IL]]</f>
        <v>-116.62880622245565</v>
      </c>
      <c r="H85" s="2">
        <f>Masks[[#This Row],[channel_echo]]</f>
        <v>-11.721140172101443</v>
      </c>
      <c r="I85" s="2">
        <f>Masks[[#This Row],[channel_echo]]</f>
        <v>-11.721140172101443</v>
      </c>
      <c r="J85" s="2">
        <f>Calculate[[#This Row],[Echo_transfer_us]]+Calculate[[#This Row],[Tx_PSD_ds]]</f>
        <v>-110.19146557001601</v>
      </c>
      <c r="K85" s="2">
        <f>Calculate[[#This Row],[Echo_transfer_ds]]+Calculate[[#This Row],[Tx_PSD_us]]</f>
        <v>-110.19146557001601</v>
      </c>
      <c r="L85" s="2">
        <f t="shared" si="10"/>
        <v>-140</v>
      </c>
      <c r="M85" s="2">
        <f t="shared" si="11"/>
        <v>-140</v>
      </c>
      <c r="N85" s="2">
        <f t="shared" si="12"/>
        <v>5</v>
      </c>
      <c r="O85" s="2">
        <f t="shared" si="13"/>
        <v>5</v>
      </c>
      <c r="P85" s="2">
        <f>10*LOG10((10^(Calculate[[#This Row],[Rx_echo_us]]/10))-(10^((Masks[[#This Row],[connector_echo]]+Calculate[[#This Row],[Tx_PSD_ds]])/10))*EC_conector_ratio_us)-Calculate[[#This Row],[EC_cancelation_us]]</f>
        <v>-143.47032539791832</v>
      </c>
      <c r="Q85" s="2">
        <f>10*LOG10((10^(Calculate[[#This Row],[Rx_echo_ds]]/10))-(10^((Masks[[#This Row],[connector_echo]]+Calculate[[#This Row],[Tx_PSD_us]])/10))*EC_conector_ratio_ds)-Calculate[[#This Row],[EC_cancelation_ds]]</f>
        <v>-143.47032539791832</v>
      </c>
      <c r="R85" s="2">
        <f>10*LOG10(POWER(10,Calculate[[#This Row],[AFE_noise_us]]/10)+POWER(10,Calculate[[#This Row],[Echo_res_us]]/10))</f>
        <v>-138.38708034075776</v>
      </c>
      <c r="S85" s="2">
        <f>10*LOG10(POWER(10,Calculate[[#This Row],[AFE_noise_ds]]/10)+POWER(10,Calculate[[#This Row],[Echo_res_ds]]/10))</f>
        <v>-138.38708034075776</v>
      </c>
      <c r="T85" s="2">
        <f>Calculate[[#This Row],[Rx_PSD_us]]-Calculate[[#This Row],[Noise_us]]</f>
        <v>21.758274118302111</v>
      </c>
      <c r="U85" s="2">
        <f>Calculate[[#This Row],[Rx_PSD_ds]]-Calculate[[#This Row],[Noise_ds]]</f>
        <v>21.758274118302111</v>
      </c>
      <c r="V85" s="2">
        <f>POWER(10,Calculate[[#This Row],[SNRdB_us]]/10)</f>
        <v>149.90889807318106</v>
      </c>
      <c r="W85" s="2">
        <f>POWER(10,Calculate[[#This Row],[SNRdB_ds]]/10)</f>
        <v>149.90889807318106</v>
      </c>
      <c r="X85" s="2">
        <f>-(0.002*Calculate[[#This Row],[Freq]]/1000000/2.5+0.68*(Calculate[[#This Row],[Freq]]/1000000/2.5)^0.45)</f>
        <v>-21.360110551532717</v>
      </c>
    </row>
    <row r="86" spans="1:24" x14ac:dyDescent="0.25">
      <c r="A86" s="34">
        <f t="shared" si="14"/>
        <v>3825000000</v>
      </c>
      <c r="B86" s="1">
        <f>Calculate[[#This Row],[Freq]]-A85</f>
        <v>45000000</v>
      </c>
      <c r="C86">
        <f>Channels!B86*cable_length</f>
        <v>-18.289130763729958</v>
      </c>
      <c r="D86" s="2">
        <f>Masks!A86</f>
        <v>-98.470325397914564</v>
      </c>
      <c r="E86" s="2">
        <f>Masks!B86</f>
        <v>-98.470325397914564</v>
      </c>
      <c r="F86" s="2">
        <f>Calculate[[#This Row],[Tx_PSD_us]]+Calculate[[#This Row],[IL]]</f>
        <v>-116.75945616164452</v>
      </c>
      <c r="G86" s="2">
        <f>Calculate[[#This Row],[Tx_PSD_ds]]+Calculate[[#This Row],[IL]]</f>
        <v>-116.75945616164452</v>
      </c>
      <c r="H86" s="2">
        <f>Masks[[#This Row],[channel_echo]]</f>
        <v>-11.672037815875873</v>
      </c>
      <c r="I86" s="2">
        <f>Masks[[#This Row],[channel_echo]]</f>
        <v>-11.672037815875873</v>
      </c>
      <c r="J86" s="2">
        <f>Calculate[[#This Row],[Echo_transfer_us]]+Calculate[[#This Row],[Tx_PSD_ds]]</f>
        <v>-110.14236321379043</v>
      </c>
      <c r="K86" s="2">
        <f>Calculate[[#This Row],[Echo_transfer_ds]]+Calculate[[#This Row],[Tx_PSD_us]]</f>
        <v>-110.14236321379043</v>
      </c>
      <c r="L86" s="2">
        <f t="shared" si="10"/>
        <v>-140</v>
      </c>
      <c r="M86" s="2">
        <f t="shared" si="11"/>
        <v>-140</v>
      </c>
      <c r="N86" s="2">
        <f t="shared" si="12"/>
        <v>5</v>
      </c>
      <c r="O86" s="2">
        <f t="shared" si="13"/>
        <v>5</v>
      </c>
      <c r="P86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86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86" s="2">
        <f>10*LOG10(POWER(10,Calculate[[#This Row],[AFE_noise_us]]/10)+POWER(10,Calculate[[#This Row],[Echo_res_us]]/10))</f>
        <v>-138.38708034075592</v>
      </c>
      <c r="S86" s="2">
        <f>10*LOG10(POWER(10,Calculate[[#This Row],[AFE_noise_ds]]/10)+POWER(10,Calculate[[#This Row],[Echo_res_ds]]/10))</f>
        <v>-138.38708034075592</v>
      </c>
      <c r="T86" s="2">
        <f>Calculate[[#This Row],[Rx_PSD_us]]-Calculate[[#This Row],[Noise_us]]</f>
        <v>21.627624179111393</v>
      </c>
      <c r="U86" s="2">
        <f>Calculate[[#This Row],[Rx_PSD_ds]]-Calculate[[#This Row],[Noise_ds]]</f>
        <v>21.627624179111393</v>
      </c>
      <c r="V86" s="2">
        <f>POWER(10,Calculate[[#This Row],[SNRdB_us]]/10)</f>
        <v>145.46630851059345</v>
      </c>
      <c r="W86" s="2">
        <f>POWER(10,Calculate[[#This Row],[SNRdB_ds]]/10)</f>
        <v>145.46630851059345</v>
      </c>
      <c r="X86" s="2">
        <f>-(0.002*Calculate[[#This Row],[Freq]]/1000000/2.5+0.68*(Calculate[[#This Row],[Freq]]/1000000/2.5)^0.45)</f>
        <v>-21.494020094738477</v>
      </c>
    </row>
    <row r="87" spans="1:24" x14ac:dyDescent="0.25">
      <c r="A87" s="34">
        <f t="shared" si="14"/>
        <v>3870000000</v>
      </c>
      <c r="B87" s="1">
        <f>Calculate[[#This Row],[Freq]]-A86</f>
        <v>45000000</v>
      </c>
      <c r="C87">
        <f>Channels!B87*cable_length</f>
        <v>-18.419282051364839</v>
      </c>
      <c r="D87" s="2">
        <f>Masks!A87</f>
        <v>-98.470325397914564</v>
      </c>
      <c r="E87" s="2">
        <f>Masks!B87</f>
        <v>-98.470325397914564</v>
      </c>
      <c r="F87" s="2">
        <f>Calculate[[#This Row],[Tx_PSD_us]]+Calculate[[#This Row],[IL]]</f>
        <v>-116.8896074492794</v>
      </c>
      <c r="G87" s="2">
        <f>Calculate[[#This Row],[Tx_PSD_ds]]+Calculate[[#This Row],[IL]]</f>
        <v>-116.8896074492794</v>
      </c>
      <c r="H87" s="2">
        <f>Masks[[#This Row],[channel_echo]]</f>
        <v>-11.623484421536077</v>
      </c>
      <c r="I87" s="2">
        <f>Masks[[#This Row],[channel_echo]]</f>
        <v>-11.623484421536077</v>
      </c>
      <c r="J87" s="2">
        <f>Calculate[[#This Row],[Echo_transfer_us]]+Calculate[[#This Row],[Tx_PSD_ds]]</f>
        <v>-110.09380981945064</v>
      </c>
      <c r="K87" s="2">
        <f>Calculate[[#This Row],[Echo_transfer_ds]]+Calculate[[#This Row],[Tx_PSD_us]]</f>
        <v>-110.09380981945064</v>
      </c>
      <c r="L87" s="2">
        <f t="shared" si="10"/>
        <v>-140</v>
      </c>
      <c r="M87" s="2">
        <f t="shared" si="11"/>
        <v>-140</v>
      </c>
      <c r="N87" s="2">
        <f t="shared" si="12"/>
        <v>5</v>
      </c>
      <c r="O87" s="2">
        <f t="shared" si="13"/>
        <v>5</v>
      </c>
      <c r="P87" s="2">
        <f>10*LOG10((10^(Calculate[[#This Row],[Rx_echo_us]]/10))-(10^((Masks[[#This Row],[connector_echo]]+Calculate[[#This Row],[Tx_PSD_ds]])/10))*EC_conector_ratio_us)-Calculate[[#This Row],[EC_cancelation_us]]</f>
        <v>-143.47032539792917</v>
      </c>
      <c r="Q87" s="2">
        <f>10*LOG10((10^(Calculate[[#This Row],[Rx_echo_ds]]/10))-(10^((Masks[[#This Row],[connector_echo]]+Calculate[[#This Row],[Tx_PSD_us]])/10))*EC_conector_ratio_ds)-Calculate[[#This Row],[EC_cancelation_ds]]</f>
        <v>-143.47032539792917</v>
      </c>
      <c r="R87" s="2">
        <f>10*LOG10(POWER(10,Calculate[[#This Row],[AFE_noise_us]]/10)+POWER(10,Calculate[[#This Row],[Echo_res_us]]/10))</f>
        <v>-138.38708034076112</v>
      </c>
      <c r="S87" s="2">
        <f>10*LOG10(POWER(10,Calculate[[#This Row],[AFE_noise_ds]]/10)+POWER(10,Calculate[[#This Row],[Echo_res_ds]]/10))</f>
        <v>-138.38708034076112</v>
      </c>
      <c r="T87" s="2">
        <f>Calculate[[#This Row],[Rx_PSD_us]]-Calculate[[#This Row],[Noise_us]]</f>
        <v>21.497472891481721</v>
      </c>
      <c r="U87" s="2">
        <f>Calculate[[#This Row],[Rx_PSD_ds]]-Calculate[[#This Row],[Noise_ds]]</f>
        <v>21.497472891481721</v>
      </c>
      <c r="V87" s="2">
        <f>POWER(10,Calculate[[#This Row],[SNRdB_us]]/10)</f>
        <v>141.17158447285561</v>
      </c>
      <c r="W87" s="2">
        <f>POWER(10,Calculate[[#This Row],[SNRdB_ds]]/10)</f>
        <v>141.17158447285561</v>
      </c>
      <c r="X87" s="2">
        <f>-(0.002*Calculate[[#This Row],[Freq]]/1000000/2.5+0.68*(Calculate[[#This Row],[Freq]]/1000000/2.5)^0.45)</f>
        <v>-21.627298132341259</v>
      </c>
    </row>
    <row r="88" spans="1:24" x14ac:dyDescent="0.25">
      <c r="A88" s="34">
        <f t="shared" si="14"/>
        <v>3915000000</v>
      </c>
      <c r="B88" s="1">
        <f>Calculate[[#This Row],[Freq]]-A87</f>
        <v>45000000</v>
      </c>
      <c r="C88">
        <f>Channels!B88*cable_length</f>
        <v>-18.548943360014206</v>
      </c>
      <c r="D88" s="2">
        <f>Masks!A88</f>
        <v>-98.470325397914564</v>
      </c>
      <c r="E88" s="2">
        <f>Masks!B88</f>
        <v>-98.470325397914564</v>
      </c>
      <c r="F88" s="2">
        <f>Calculate[[#This Row],[Tx_PSD_us]]+Calculate[[#This Row],[IL]]</f>
        <v>-117.01926875792877</v>
      </c>
      <c r="G88" s="2">
        <f>Calculate[[#This Row],[Tx_PSD_ds]]+Calculate[[#This Row],[IL]]</f>
        <v>-117.01926875792877</v>
      </c>
      <c r="H88" s="2">
        <f>Masks[[#This Row],[channel_echo]]</f>
        <v>-11.575467849939194</v>
      </c>
      <c r="I88" s="2">
        <f>Masks[[#This Row],[channel_echo]]</f>
        <v>-11.575467849939194</v>
      </c>
      <c r="J88" s="2">
        <f>Calculate[[#This Row],[Echo_transfer_us]]+Calculate[[#This Row],[Tx_PSD_ds]]</f>
        <v>-110.04579324785377</v>
      </c>
      <c r="K88" s="2">
        <f>Calculate[[#This Row],[Echo_transfer_ds]]+Calculate[[#This Row],[Tx_PSD_us]]</f>
        <v>-110.04579324785377</v>
      </c>
      <c r="L88" s="2">
        <f t="shared" si="10"/>
        <v>-140</v>
      </c>
      <c r="M88" s="2">
        <f t="shared" si="11"/>
        <v>-140</v>
      </c>
      <c r="N88" s="2">
        <f t="shared" si="12"/>
        <v>5</v>
      </c>
      <c r="O88" s="2">
        <f t="shared" si="13"/>
        <v>5</v>
      </c>
      <c r="P88" s="2">
        <f>10*LOG10((10^(Calculate[[#This Row],[Rx_echo_us]]/10))-(10^((Masks[[#This Row],[connector_echo]]+Calculate[[#This Row],[Tx_PSD_ds]])/10))*EC_conector_ratio_us)-Calculate[[#This Row],[EC_cancelation_us]]</f>
        <v>-143.47032539791536</v>
      </c>
      <c r="Q88" s="2">
        <f>10*LOG10((10^(Calculate[[#This Row],[Rx_echo_ds]]/10))-(10^((Masks[[#This Row],[connector_echo]]+Calculate[[#This Row],[Tx_PSD_us]])/10))*EC_conector_ratio_ds)-Calculate[[#This Row],[EC_cancelation_ds]]</f>
        <v>-143.47032539791536</v>
      </c>
      <c r="R88" s="2">
        <f>10*LOG10(POWER(10,Calculate[[#This Row],[AFE_noise_us]]/10)+POWER(10,Calculate[[#This Row],[Echo_res_us]]/10))</f>
        <v>-138.38708034075682</v>
      </c>
      <c r="S88" s="2">
        <f>10*LOG10(POWER(10,Calculate[[#This Row],[AFE_noise_ds]]/10)+POWER(10,Calculate[[#This Row],[Echo_res_ds]]/10))</f>
        <v>-138.38708034075682</v>
      </c>
      <c r="T88" s="2">
        <f>Calculate[[#This Row],[Rx_PSD_us]]-Calculate[[#This Row],[Noise_us]]</f>
        <v>21.367811582828054</v>
      </c>
      <c r="U88" s="2">
        <f>Calculate[[#This Row],[Rx_PSD_ds]]-Calculate[[#This Row],[Noise_ds]]</f>
        <v>21.367811582828054</v>
      </c>
      <c r="V88" s="2">
        <f>POWER(10,Calculate[[#This Row],[SNRdB_us]]/10)</f>
        <v>137.01911505614399</v>
      </c>
      <c r="W88" s="2">
        <f>POWER(10,Calculate[[#This Row],[SNRdB_ds]]/10)</f>
        <v>137.01911505614399</v>
      </c>
      <c r="X88" s="2">
        <f>-(0.002*Calculate[[#This Row],[Freq]]/1000000/2.5+0.68*(Calculate[[#This Row],[Freq]]/1000000/2.5)^0.45)</f>
        <v>-21.759956010322796</v>
      </c>
    </row>
    <row r="89" spans="1:24" x14ac:dyDescent="0.25">
      <c r="A89" s="34">
        <f t="shared" si="14"/>
        <v>3960000000</v>
      </c>
      <c r="B89" s="1">
        <f>Calculate[[#This Row],[Freq]]-A88</f>
        <v>45000000</v>
      </c>
      <c r="C89">
        <f>Channels!B89*cable_length</f>
        <v>-18.678123113734397</v>
      </c>
      <c r="D89" s="2">
        <f>Masks!A89</f>
        <v>-98.470325397914564</v>
      </c>
      <c r="E89" s="2">
        <f>Masks!B89</f>
        <v>-98.470325397914564</v>
      </c>
      <c r="F89" s="2">
        <f>Calculate[[#This Row],[Tx_PSD_us]]+Calculate[[#This Row],[IL]]</f>
        <v>-117.14844851164897</v>
      </c>
      <c r="G89" s="2">
        <f>Calculate[[#This Row],[Tx_PSD_ds]]+Calculate[[#This Row],[IL]]</f>
        <v>-117.14844851164897</v>
      </c>
      <c r="H89" s="2">
        <f>Masks[[#This Row],[channel_echo]]</f>
        <v>-11.527976360190767</v>
      </c>
      <c r="I89" s="2">
        <f>Masks[[#This Row],[channel_echo]]</f>
        <v>-11.527976360190767</v>
      </c>
      <c r="J89" s="2">
        <f>Calculate[[#This Row],[Echo_transfer_us]]+Calculate[[#This Row],[Tx_PSD_ds]]</f>
        <v>-109.99830175810533</v>
      </c>
      <c r="K89" s="2">
        <f>Calculate[[#This Row],[Echo_transfer_ds]]+Calculate[[#This Row],[Tx_PSD_us]]</f>
        <v>-109.99830175810533</v>
      </c>
      <c r="L89" s="2">
        <f t="shared" si="10"/>
        <v>-140</v>
      </c>
      <c r="M89" s="2">
        <f t="shared" si="11"/>
        <v>-140</v>
      </c>
      <c r="N89" s="2">
        <f t="shared" si="12"/>
        <v>5</v>
      </c>
      <c r="O89" s="2">
        <f t="shared" si="13"/>
        <v>5</v>
      </c>
      <c r="P89" s="2">
        <f>10*LOG10((10^(Calculate[[#This Row],[Rx_echo_us]]/10))-(10^((Masks[[#This Row],[connector_echo]]+Calculate[[#This Row],[Tx_PSD_ds]])/10))*EC_conector_ratio_us)-Calculate[[#This Row],[EC_cancelation_us]]</f>
        <v>-143.47032539790695</v>
      </c>
      <c r="Q89" s="2">
        <f>10*LOG10((10^(Calculate[[#This Row],[Rx_echo_ds]]/10))-(10^((Masks[[#This Row],[connector_echo]]+Calculate[[#This Row],[Tx_PSD_us]])/10))*EC_conector_ratio_ds)-Calculate[[#This Row],[EC_cancelation_ds]]</f>
        <v>-143.47032539790695</v>
      </c>
      <c r="R89" s="2">
        <f>10*LOG10(POWER(10,Calculate[[#This Row],[AFE_noise_us]]/10)+POWER(10,Calculate[[#This Row],[Echo_res_us]]/10))</f>
        <v>-138.38708034075421</v>
      </c>
      <c r="S89" s="2">
        <f>10*LOG10(POWER(10,Calculate[[#This Row],[AFE_noise_ds]]/10)+POWER(10,Calculate[[#This Row],[Echo_res_ds]]/10))</f>
        <v>-138.38708034075421</v>
      </c>
      <c r="T89" s="2">
        <f>Calculate[[#This Row],[Rx_PSD_us]]-Calculate[[#This Row],[Noise_us]]</f>
        <v>21.238631829105245</v>
      </c>
      <c r="U89" s="2">
        <f>Calculate[[#This Row],[Rx_PSD_ds]]-Calculate[[#This Row],[Noise_ds]]</f>
        <v>21.238631829105245</v>
      </c>
      <c r="V89" s="2">
        <f>POWER(10,Calculate[[#This Row],[SNRdB_us]]/10)</f>
        <v>133.00353469578801</v>
      </c>
      <c r="W89" s="2">
        <f>POWER(10,Calculate[[#This Row],[SNRdB_ds]]/10)</f>
        <v>133.00353469578801</v>
      </c>
      <c r="X89" s="2">
        <f>-(0.002*Calculate[[#This Row],[Freq]]/1000000/2.5+0.68*(Calculate[[#This Row],[Freq]]/1000000/2.5)^0.45)</f>
        <v>-21.892004743139157</v>
      </c>
    </row>
    <row r="90" spans="1:24" x14ac:dyDescent="0.25">
      <c r="A90" s="34">
        <f t="shared" si="14"/>
        <v>4005000000</v>
      </c>
      <c r="B90" s="1">
        <f>Calculate[[#This Row],[Freq]]-A89</f>
        <v>45000000</v>
      </c>
      <c r="C90">
        <f>Channels!B90*cable_length</f>
        <v>-18.806829497926316</v>
      </c>
      <c r="D90" s="2">
        <f>Masks!A90</f>
        <v>-98.470325397914564</v>
      </c>
      <c r="E90" s="2">
        <f>Masks!B90</f>
        <v>-98.470325397914564</v>
      </c>
      <c r="F90" s="2">
        <f>Calculate[[#This Row],[Tx_PSD_us]]+Calculate[[#This Row],[IL]]</f>
        <v>-117.27715489584088</v>
      </c>
      <c r="G90" s="2">
        <f>Calculate[[#This Row],[Tx_PSD_ds]]+Calculate[[#This Row],[IL]]</f>
        <v>-117.27715489584088</v>
      </c>
      <c r="H90" s="2">
        <f>Masks[[#This Row],[channel_echo]]</f>
        <v>-11.480998592412558</v>
      </c>
      <c r="I90" s="2">
        <f>Masks[[#This Row],[channel_echo]]</f>
        <v>-11.480998592412558</v>
      </c>
      <c r="J90" s="2">
        <f>Calculate[[#This Row],[Echo_transfer_us]]+Calculate[[#This Row],[Tx_PSD_ds]]</f>
        <v>-109.95132399032713</v>
      </c>
      <c r="K90" s="2">
        <f>Calculate[[#This Row],[Echo_transfer_ds]]+Calculate[[#This Row],[Tx_PSD_us]]</f>
        <v>-109.95132399032713</v>
      </c>
      <c r="L90" s="2">
        <f t="shared" si="10"/>
        <v>-140</v>
      </c>
      <c r="M90" s="2">
        <f t="shared" si="11"/>
        <v>-140</v>
      </c>
      <c r="N90" s="2">
        <f t="shared" si="12"/>
        <v>5</v>
      </c>
      <c r="O90" s="2">
        <f t="shared" si="13"/>
        <v>5</v>
      </c>
      <c r="P90" s="2">
        <f>10*LOG10((10^(Calculate[[#This Row],[Rx_echo_us]]/10))-(10^((Masks[[#This Row],[connector_echo]]+Calculate[[#This Row],[Tx_PSD_ds]])/10))*EC_conector_ratio_us)-Calculate[[#This Row],[EC_cancelation_us]]</f>
        <v>-143.47032539791633</v>
      </c>
      <c r="Q90" s="2">
        <f>10*LOG10((10^(Calculate[[#This Row],[Rx_echo_ds]]/10))-(10^((Masks[[#This Row],[connector_echo]]+Calculate[[#This Row],[Tx_PSD_us]])/10))*EC_conector_ratio_ds)-Calculate[[#This Row],[EC_cancelation_ds]]</f>
        <v>-143.47032539791633</v>
      </c>
      <c r="R90" s="2">
        <f>10*LOG10(POWER(10,Calculate[[#This Row],[AFE_noise_us]]/10)+POWER(10,Calculate[[#This Row],[Echo_res_us]]/10))</f>
        <v>-138.38708034075714</v>
      </c>
      <c r="S90" s="2">
        <f>10*LOG10(POWER(10,Calculate[[#This Row],[AFE_noise_ds]]/10)+POWER(10,Calculate[[#This Row],[Echo_res_ds]]/10))</f>
        <v>-138.38708034075714</v>
      </c>
      <c r="T90" s="2">
        <f>Calculate[[#This Row],[Rx_PSD_us]]-Calculate[[#This Row],[Noise_us]]</f>
        <v>21.109925444916257</v>
      </c>
      <c r="U90" s="2">
        <f>Calculate[[#This Row],[Rx_PSD_ds]]-Calculate[[#This Row],[Noise_ds]]</f>
        <v>21.109925444916257</v>
      </c>
      <c r="V90" s="2">
        <f>POWER(10,Calculate[[#This Row],[SNRdB_us]]/10)</f>
        <v>129.11971075168447</v>
      </c>
      <c r="W90" s="2">
        <f>POWER(10,Calculate[[#This Row],[SNRdB_ds]]/10)</f>
        <v>129.11971075168447</v>
      </c>
      <c r="X90" s="2">
        <f>-(0.002*Calculate[[#This Row],[Freq]]/1000000/2.5+0.68*(Calculate[[#This Row],[Freq]]/1000000/2.5)^0.45)</f>
        <v>-22.023455027053998</v>
      </c>
    </row>
    <row r="91" spans="1:24" x14ac:dyDescent="0.25">
      <c r="A91" s="34">
        <f t="shared" si="14"/>
        <v>4050000000</v>
      </c>
      <c r="B91" s="1">
        <f>Calculate[[#This Row],[Freq]]-A90</f>
        <v>45000000</v>
      </c>
      <c r="C91">
        <f>Channels!B91*cable_length</f>
        <v>-18.935070468695137</v>
      </c>
      <c r="D91" s="2">
        <f>Masks!A91</f>
        <v>-98.470325397914564</v>
      </c>
      <c r="E91" s="2">
        <f>Masks!B91</f>
        <v>-98.470325397914564</v>
      </c>
      <c r="F91" s="2">
        <f>Calculate[[#This Row],[Tx_PSD_us]]+Calculate[[#This Row],[IL]]</f>
        <v>-117.40539586660969</v>
      </c>
      <c r="G91" s="2">
        <f>Calculate[[#This Row],[Tx_PSD_ds]]+Calculate[[#This Row],[IL]]</f>
        <v>-117.40539586660969</v>
      </c>
      <c r="H91" s="2">
        <f>Masks[[#This Row],[channel_echo]]</f>
        <v>-11.434523551432523</v>
      </c>
      <c r="I91" s="2">
        <f>Masks[[#This Row],[channel_echo]]</f>
        <v>-11.434523551432523</v>
      </c>
      <c r="J91" s="2">
        <f>Calculate[[#This Row],[Echo_transfer_us]]+Calculate[[#This Row],[Tx_PSD_ds]]</f>
        <v>-109.90484894934708</v>
      </c>
      <c r="K91" s="2">
        <f>Calculate[[#This Row],[Echo_transfer_ds]]+Calculate[[#This Row],[Tx_PSD_us]]</f>
        <v>-109.90484894934708</v>
      </c>
      <c r="L91" s="2">
        <f t="shared" si="10"/>
        <v>-140</v>
      </c>
      <c r="M91" s="2">
        <f t="shared" si="11"/>
        <v>-140</v>
      </c>
      <c r="N91" s="2">
        <f t="shared" si="12"/>
        <v>5</v>
      </c>
      <c r="O91" s="2">
        <f t="shared" si="13"/>
        <v>5</v>
      </c>
      <c r="P91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91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91" s="2">
        <f>10*LOG10(POWER(10,Calculate[[#This Row],[AFE_noise_us]]/10)+POWER(10,Calculate[[#This Row],[Echo_res_us]]/10))</f>
        <v>-138.38708034075668</v>
      </c>
      <c r="S91" s="2">
        <f>10*LOG10(POWER(10,Calculate[[#This Row],[AFE_noise_ds]]/10)+POWER(10,Calculate[[#This Row],[Echo_res_ds]]/10))</f>
        <v>-138.38708034075668</v>
      </c>
      <c r="T91" s="2">
        <f>Calculate[[#This Row],[Rx_PSD_us]]-Calculate[[#This Row],[Noise_us]]</f>
        <v>20.981684474146988</v>
      </c>
      <c r="U91" s="2">
        <f>Calculate[[#This Row],[Rx_PSD_ds]]-Calculate[[#This Row],[Noise_ds]]</f>
        <v>20.981684474146988</v>
      </c>
      <c r="V91" s="2">
        <f>POWER(10,Calculate[[#This Row],[SNRdB_us]]/10)</f>
        <v>125.3627318196995</v>
      </c>
      <c r="W91" s="2">
        <f>POWER(10,Calculate[[#This Row],[SNRdB_ds]]/10)</f>
        <v>125.3627318196995</v>
      </c>
      <c r="X91" s="2">
        <f>-(0.002*Calculate[[#This Row],[Freq]]/1000000/2.5+0.68*(Calculate[[#This Row],[Freq]]/1000000/2.5)^0.45)</f>
        <v>-22.15431725279235</v>
      </c>
    </row>
    <row r="92" spans="1:24" x14ac:dyDescent="0.25">
      <c r="A92" s="34">
        <f t="shared" si="14"/>
        <v>4095000000</v>
      </c>
      <c r="B92" s="1">
        <f>Calculate[[#This Row],[Freq]]-A91</f>
        <v>45000000</v>
      </c>
      <c r="C92">
        <f>Channels!B92*cable_length</f>
        <v>-19.06285376174333</v>
      </c>
      <c r="D92" s="2">
        <f>Masks!A92</f>
        <v>-98.470325397914564</v>
      </c>
      <c r="E92" s="2">
        <f>Masks!B92</f>
        <v>-98.470325397914564</v>
      </c>
      <c r="F92" s="2">
        <f>Calculate[[#This Row],[Tx_PSD_us]]+Calculate[[#This Row],[IL]]</f>
        <v>-117.53317915965789</v>
      </c>
      <c r="G92" s="2">
        <f>Calculate[[#This Row],[Tx_PSD_ds]]+Calculate[[#This Row],[IL]]</f>
        <v>-117.53317915965789</v>
      </c>
      <c r="H92" s="2">
        <f>Masks[[#This Row],[channel_echo]]</f>
        <v>-11.388540591338188</v>
      </c>
      <c r="I92" s="2">
        <f>Masks[[#This Row],[channel_echo]]</f>
        <v>-11.388540591338188</v>
      </c>
      <c r="J92" s="2">
        <f>Calculate[[#This Row],[Echo_transfer_us]]+Calculate[[#This Row],[Tx_PSD_ds]]</f>
        <v>-109.85886598925275</v>
      </c>
      <c r="K92" s="2">
        <f>Calculate[[#This Row],[Echo_transfer_ds]]+Calculate[[#This Row],[Tx_PSD_us]]</f>
        <v>-109.85886598925275</v>
      </c>
      <c r="L92" s="2">
        <f t="shared" si="10"/>
        <v>-140</v>
      </c>
      <c r="M92" s="2">
        <f t="shared" si="11"/>
        <v>-140</v>
      </c>
      <c r="N92" s="2">
        <f t="shared" si="12"/>
        <v>5</v>
      </c>
      <c r="O92" s="2">
        <f t="shared" si="13"/>
        <v>5</v>
      </c>
      <c r="P92" s="2">
        <f>10*LOG10((10^(Calculate[[#This Row],[Rx_echo_us]]/10))-(10^((Masks[[#This Row],[connector_echo]]+Calculate[[#This Row],[Tx_PSD_ds]])/10))*EC_conector_ratio_us)-Calculate[[#This Row],[EC_cancelation_us]]</f>
        <v>-143.47032539792326</v>
      </c>
      <c r="Q92" s="2">
        <f>10*LOG10((10^(Calculate[[#This Row],[Rx_echo_ds]]/10))-(10^((Masks[[#This Row],[connector_echo]]+Calculate[[#This Row],[Tx_PSD_us]])/10))*EC_conector_ratio_ds)-Calculate[[#This Row],[EC_cancelation_ds]]</f>
        <v>-143.47032539792326</v>
      </c>
      <c r="R92" s="2">
        <f>10*LOG10(POWER(10,Calculate[[#This Row],[AFE_noise_us]]/10)+POWER(10,Calculate[[#This Row],[Echo_res_us]]/10))</f>
        <v>-138.38708034075927</v>
      </c>
      <c r="S92" s="2">
        <f>10*LOG10(POWER(10,Calculate[[#This Row],[AFE_noise_ds]]/10)+POWER(10,Calculate[[#This Row],[Echo_res_ds]]/10))</f>
        <v>-138.38708034075927</v>
      </c>
      <c r="T92" s="2">
        <f>Calculate[[#This Row],[Rx_PSD_us]]-Calculate[[#This Row],[Noise_us]]</f>
        <v>20.853901181101378</v>
      </c>
      <c r="U92" s="2">
        <f>Calculate[[#This Row],[Rx_PSD_ds]]-Calculate[[#This Row],[Noise_ds]]</f>
        <v>20.853901181101378</v>
      </c>
      <c r="V92" s="2">
        <f>POWER(10,Calculate[[#This Row],[SNRdB_us]]/10)</f>
        <v>121.72789672048528</v>
      </c>
      <c r="W92" s="2">
        <f>POWER(10,Calculate[[#This Row],[SNRdB_ds]]/10)</f>
        <v>121.72789672048528</v>
      </c>
      <c r="X92" s="2">
        <f>-(0.002*Calculate[[#This Row],[Freq]]/1000000/2.5+0.68*(Calculate[[#This Row],[Freq]]/1000000/2.5)^0.45)</f>
        <v>-22.284601517556528</v>
      </c>
    </row>
    <row r="93" spans="1:24" x14ac:dyDescent="0.25">
      <c r="A93" s="34">
        <f t="shared" si="14"/>
        <v>4140000000</v>
      </c>
      <c r="B93" s="1">
        <f>Calculate[[#This Row],[Freq]]-A92</f>
        <v>45000000</v>
      </c>
      <c r="C93">
        <f>Channels!B93*cable_length</f>
        <v>-19.190186900825008</v>
      </c>
      <c r="D93" s="2">
        <f>Masks!A93</f>
        <v>-98.470325397914564</v>
      </c>
      <c r="E93" s="2">
        <f>Masks!B93</f>
        <v>-98.470325397914564</v>
      </c>
      <c r="F93" s="2">
        <f>Calculate[[#This Row],[Tx_PSD_us]]+Calculate[[#This Row],[IL]]</f>
        <v>-117.66051229873958</v>
      </c>
      <c r="G93" s="2">
        <f>Calculate[[#This Row],[Tx_PSD_ds]]+Calculate[[#This Row],[IL]]</f>
        <v>-117.66051229873958</v>
      </c>
      <c r="H93" s="2">
        <f>Masks[[#This Row],[channel_echo]]</f>
        <v>-11.343039400839295</v>
      </c>
      <c r="I93" s="2">
        <f>Masks[[#This Row],[channel_echo]]</f>
        <v>-11.343039400839295</v>
      </c>
      <c r="J93" s="2">
        <f>Calculate[[#This Row],[Echo_transfer_us]]+Calculate[[#This Row],[Tx_PSD_ds]]</f>
        <v>-109.81336479875387</v>
      </c>
      <c r="K93" s="2">
        <f>Calculate[[#This Row],[Echo_transfer_ds]]+Calculate[[#This Row],[Tx_PSD_us]]</f>
        <v>-109.81336479875387</v>
      </c>
      <c r="L93" s="2">
        <f t="shared" si="10"/>
        <v>-140</v>
      </c>
      <c r="M93" s="2">
        <f t="shared" si="11"/>
        <v>-140</v>
      </c>
      <c r="N93" s="2">
        <f t="shared" si="12"/>
        <v>5</v>
      </c>
      <c r="O93" s="2">
        <f t="shared" si="13"/>
        <v>5</v>
      </c>
      <c r="P93" s="2">
        <f>10*LOG10((10^(Calculate[[#This Row],[Rx_echo_us]]/10))-(10^((Masks[[#This Row],[connector_echo]]+Calculate[[#This Row],[Tx_PSD_ds]])/10))*EC_conector_ratio_us)-Calculate[[#This Row],[EC_cancelation_us]]</f>
        <v>-143.47032539792127</v>
      </c>
      <c r="Q93" s="2">
        <f>10*LOG10((10^(Calculate[[#This Row],[Rx_echo_ds]]/10))-(10^((Masks[[#This Row],[connector_echo]]+Calculate[[#This Row],[Tx_PSD_us]])/10))*EC_conector_ratio_ds)-Calculate[[#This Row],[EC_cancelation_ds]]</f>
        <v>-143.47032539792127</v>
      </c>
      <c r="R93" s="2">
        <f>10*LOG10(POWER(10,Calculate[[#This Row],[AFE_noise_us]]/10)+POWER(10,Calculate[[#This Row],[Echo_res_us]]/10))</f>
        <v>-138.38708034075867</v>
      </c>
      <c r="S93" s="2">
        <f>10*LOG10(POWER(10,Calculate[[#This Row],[AFE_noise_ds]]/10)+POWER(10,Calculate[[#This Row],[Echo_res_ds]]/10))</f>
        <v>-138.38708034075867</v>
      </c>
      <c r="T93" s="2">
        <f>Calculate[[#This Row],[Rx_PSD_us]]-Calculate[[#This Row],[Noise_us]]</f>
        <v>20.726568042019096</v>
      </c>
      <c r="U93" s="2">
        <f>Calculate[[#This Row],[Rx_PSD_ds]]-Calculate[[#This Row],[Noise_ds]]</f>
        <v>20.726568042019096</v>
      </c>
      <c r="V93" s="2">
        <f>POWER(10,Calculate[[#This Row],[SNRdB_us]]/10)</f>
        <v>118.21070411827294</v>
      </c>
      <c r="W93" s="2">
        <f>POWER(10,Calculate[[#This Row],[SNRdB_ds]]/10)</f>
        <v>118.21070411827294</v>
      </c>
      <c r="X93" s="2">
        <f>-(0.002*Calculate[[#This Row],[Freq]]/1000000/2.5+0.68*(Calculate[[#This Row],[Freq]]/1000000/2.5)^0.45)</f>
        <v>-22.414317636442977</v>
      </c>
    </row>
    <row r="94" spans="1:24" x14ac:dyDescent="0.25">
      <c r="A94" s="34">
        <f t="shared" si="14"/>
        <v>4185000000</v>
      </c>
      <c r="B94" s="1">
        <f>Calculate[[#This Row],[Freq]]-A93</f>
        <v>45000000</v>
      </c>
      <c r="C94">
        <f>Channels!B94*cable_length</f>
        <v>-19.317077205787875</v>
      </c>
      <c r="D94" s="2">
        <f>Masks!A94</f>
        <v>-98.470325397914564</v>
      </c>
      <c r="E94" s="2">
        <f>Masks!B94</f>
        <v>-98.470325397914564</v>
      </c>
      <c r="F94" s="2">
        <f>Calculate[[#This Row],[Tx_PSD_us]]+Calculate[[#This Row],[IL]]</f>
        <v>-117.78740260370245</v>
      </c>
      <c r="G94" s="2">
        <f>Calculate[[#This Row],[Tx_PSD_ds]]+Calculate[[#This Row],[IL]]</f>
        <v>-117.78740260370245</v>
      </c>
      <c r="H94" s="2">
        <f>Masks[[#This Row],[channel_echo]]</f>
        <v>-11.2980099893893</v>
      </c>
      <c r="I94" s="2">
        <f>Masks[[#This Row],[channel_echo]]</f>
        <v>-11.2980099893893</v>
      </c>
      <c r="J94" s="2">
        <f>Calculate[[#This Row],[Echo_transfer_us]]+Calculate[[#This Row],[Tx_PSD_ds]]</f>
        <v>-109.76833538730386</v>
      </c>
      <c r="K94" s="2">
        <f>Calculate[[#This Row],[Echo_transfer_ds]]+Calculate[[#This Row],[Tx_PSD_us]]</f>
        <v>-109.76833538730386</v>
      </c>
      <c r="L94" s="2">
        <f t="shared" si="10"/>
        <v>-140</v>
      </c>
      <c r="M94" s="2">
        <f t="shared" si="11"/>
        <v>-140</v>
      </c>
      <c r="N94" s="2">
        <f t="shared" si="12"/>
        <v>5</v>
      </c>
      <c r="O94" s="2">
        <f t="shared" si="13"/>
        <v>5</v>
      </c>
      <c r="P94" s="2">
        <f>10*LOG10((10^(Calculate[[#This Row],[Rx_echo_us]]/10))-(10^((Masks[[#This Row],[connector_echo]]+Calculate[[#This Row],[Tx_PSD_ds]])/10))*EC_conector_ratio_us)-Calculate[[#This Row],[EC_cancelation_us]]</f>
        <v>-143.47032539790797</v>
      </c>
      <c r="Q94" s="2">
        <f>10*LOG10((10^(Calculate[[#This Row],[Rx_echo_ds]]/10))-(10^((Masks[[#This Row],[connector_echo]]+Calculate[[#This Row],[Tx_PSD_us]])/10))*EC_conector_ratio_ds)-Calculate[[#This Row],[EC_cancelation_ds]]</f>
        <v>-143.47032539790797</v>
      </c>
      <c r="R94" s="2">
        <f>10*LOG10(POWER(10,Calculate[[#This Row],[AFE_noise_us]]/10)+POWER(10,Calculate[[#This Row],[Echo_res_us]]/10))</f>
        <v>-138.38708034075455</v>
      </c>
      <c r="S94" s="2">
        <f>10*LOG10(POWER(10,Calculate[[#This Row],[AFE_noise_ds]]/10)+POWER(10,Calculate[[#This Row],[Echo_res_ds]]/10))</f>
        <v>-138.38708034075455</v>
      </c>
      <c r="T94" s="2">
        <f>Calculate[[#This Row],[Rx_PSD_us]]-Calculate[[#This Row],[Noise_us]]</f>
        <v>20.599677737052104</v>
      </c>
      <c r="U94" s="2">
        <f>Calculate[[#This Row],[Rx_PSD_ds]]-Calculate[[#This Row],[Noise_ds]]</f>
        <v>20.599677737052104</v>
      </c>
      <c r="V94" s="2">
        <f>POWER(10,Calculate[[#This Row],[SNRdB_us]]/10)</f>
        <v>114.80684273121807</v>
      </c>
      <c r="W94" s="2">
        <f>POWER(10,Calculate[[#This Row],[SNRdB_ds]]/10)</f>
        <v>114.80684273121807</v>
      </c>
      <c r="X94" s="2">
        <f>-(0.002*Calculate[[#This Row],[Freq]]/1000000/2.5+0.68*(Calculate[[#This Row],[Freq]]/1000000/2.5)^0.45)</f>
        <v>-22.543475153296217</v>
      </c>
    </row>
    <row r="95" spans="1:24" x14ac:dyDescent="0.25">
      <c r="A95" s="34">
        <f t="shared" si="14"/>
        <v>4230000000</v>
      </c>
      <c r="B95" s="1">
        <f>Calculate[[#This Row],[Freq]]-A94</f>
        <v>45000000</v>
      </c>
      <c r="C95">
        <f>Channels!B95*cable_length</f>
        <v>-19.443531800227067</v>
      </c>
      <c r="D95" s="2">
        <f>Masks!A95</f>
        <v>-98.470325397914564</v>
      </c>
      <c r="E95" s="2">
        <f>Masks!B95</f>
        <v>-98.470325397914564</v>
      </c>
      <c r="F95" s="2">
        <f>Calculate[[#This Row],[Tx_PSD_us]]+Calculate[[#This Row],[IL]]</f>
        <v>-117.91385719814163</v>
      </c>
      <c r="G95" s="2">
        <f>Calculate[[#This Row],[Tx_PSD_ds]]+Calculate[[#This Row],[IL]]</f>
        <v>-117.91385719814163</v>
      </c>
      <c r="H95" s="2">
        <f>Masks[[#This Row],[channel_echo]]</f>
        <v>-11.253442674018988</v>
      </c>
      <c r="I95" s="2">
        <f>Masks[[#This Row],[channel_echo]]</f>
        <v>-11.253442674018988</v>
      </c>
      <c r="J95" s="2">
        <f>Calculate[[#This Row],[Echo_transfer_us]]+Calculate[[#This Row],[Tx_PSD_ds]]</f>
        <v>-109.72376807193355</v>
      </c>
      <c r="K95" s="2">
        <f>Calculate[[#This Row],[Echo_transfer_ds]]+Calculate[[#This Row],[Tx_PSD_us]]</f>
        <v>-109.72376807193355</v>
      </c>
      <c r="L95" s="2">
        <f t="shared" si="10"/>
        <v>-140</v>
      </c>
      <c r="M95" s="2">
        <f t="shared" si="11"/>
        <v>-140</v>
      </c>
      <c r="N95" s="2">
        <f t="shared" si="12"/>
        <v>5</v>
      </c>
      <c r="O95" s="2">
        <f t="shared" si="13"/>
        <v>5</v>
      </c>
      <c r="P95" s="2">
        <f>10*LOG10((10^(Calculate[[#This Row],[Rx_echo_us]]/10))-(10^((Masks[[#This Row],[connector_echo]]+Calculate[[#This Row],[Tx_PSD_ds]])/10))*EC_conector_ratio_us)-Calculate[[#This Row],[EC_cancelation_us]]</f>
        <v>-143.47032539790598</v>
      </c>
      <c r="Q95" s="2">
        <f>10*LOG10((10^(Calculate[[#This Row],[Rx_echo_ds]]/10))-(10^((Masks[[#This Row],[connector_echo]]+Calculate[[#This Row],[Tx_PSD_us]])/10))*EC_conector_ratio_ds)-Calculate[[#This Row],[EC_cancelation_ds]]</f>
        <v>-143.47032539790598</v>
      </c>
      <c r="R95" s="2">
        <f>10*LOG10(POWER(10,Calculate[[#This Row],[AFE_noise_us]]/10)+POWER(10,Calculate[[#This Row],[Echo_res_us]]/10))</f>
        <v>-138.38708034075393</v>
      </c>
      <c r="S95" s="2">
        <f>10*LOG10(POWER(10,Calculate[[#This Row],[AFE_noise_ds]]/10)+POWER(10,Calculate[[#This Row],[Echo_res_ds]]/10))</f>
        <v>-138.38708034075393</v>
      </c>
      <c r="T95" s="2">
        <f>Calculate[[#This Row],[Rx_PSD_us]]-Calculate[[#This Row],[Noise_us]]</f>
        <v>20.473223142612298</v>
      </c>
      <c r="U95" s="2">
        <f>Calculate[[#This Row],[Rx_PSD_ds]]-Calculate[[#This Row],[Noise_ds]]</f>
        <v>20.473223142612298</v>
      </c>
      <c r="V95" s="2">
        <f>POWER(10,Calculate[[#This Row],[SNRdB_us]]/10)</f>
        <v>111.51218209304388</v>
      </c>
      <c r="W95" s="2">
        <f>POWER(10,Calculate[[#This Row],[SNRdB_ds]]/10)</f>
        <v>111.51218209304388</v>
      </c>
      <c r="X95" s="2">
        <f>-(0.002*Calculate[[#This Row],[Freq]]/1000000/2.5+0.68*(Calculate[[#This Row],[Freq]]/1000000/2.5)^0.45)</f>
        <v>-22.672083351033169</v>
      </c>
    </row>
    <row r="96" spans="1:24" x14ac:dyDescent="0.25">
      <c r="A96" s="34">
        <f t="shared" si="14"/>
        <v>4275000000</v>
      </c>
      <c r="B96" s="1">
        <f>Calculate[[#This Row],[Freq]]-A95</f>
        <v>45000000</v>
      </c>
      <c r="C96">
        <f>Channels!B96*cable_length</f>
        <v>-19.569557618773501</v>
      </c>
      <c r="D96" s="2">
        <f>Masks!A96</f>
        <v>-98.470325397914564</v>
      </c>
      <c r="E96" s="2">
        <f>Masks!B96</f>
        <v>-98.470325397914564</v>
      </c>
      <c r="F96" s="2">
        <f>Calculate[[#This Row],[Tx_PSD_us]]+Calculate[[#This Row],[IL]]</f>
        <v>-118.03988301668807</v>
      </c>
      <c r="G96" s="2">
        <f>Calculate[[#This Row],[Tx_PSD_ds]]+Calculate[[#This Row],[IL]]</f>
        <v>-118.03988301668807</v>
      </c>
      <c r="H96" s="2">
        <f>Masks[[#This Row],[channel_echo]]</f>
        <v>-11.209328066838873</v>
      </c>
      <c r="I96" s="2">
        <f>Masks[[#This Row],[channel_echo]]</f>
        <v>-11.209328066838873</v>
      </c>
      <c r="J96" s="2">
        <f>Calculate[[#This Row],[Echo_transfer_us]]+Calculate[[#This Row],[Tx_PSD_ds]]</f>
        <v>-109.67965346475344</v>
      </c>
      <c r="K96" s="2">
        <f>Calculate[[#This Row],[Echo_transfer_ds]]+Calculate[[#This Row],[Tx_PSD_us]]</f>
        <v>-109.67965346475344</v>
      </c>
      <c r="L96" s="2">
        <f t="shared" si="10"/>
        <v>-140</v>
      </c>
      <c r="M96" s="2">
        <f t="shared" si="11"/>
        <v>-140</v>
      </c>
      <c r="N96" s="2">
        <f t="shared" si="12"/>
        <v>5</v>
      </c>
      <c r="O96" s="2">
        <f t="shared" si="13"/>
        <v>5</v>
      </c>
      <c r="P96" s="2">
        <f>10*LOG10((10^(Calculate[[#This Row],[Rx_echo_us]]/10))-(10^((Masks[[#This Row],[connector_echo]]+Calculate[[#This Row],[Tx_PSD_ds]])/10))*EC_conector_ratio_us)-Calculate[[#This Row],[EC_cancelation_us]]</f>
        <v>-143.47032539791189</v>
      </c>
      <c r="Q96" s="2">
        <f>10*LOG10((10^(Calculate[[#This Row],[Rx_echo_ds]]/10))-(10^((Masks[[#This Row],[connector_echo]]+Calculate[[#This Row],[Tx_PSD_us]])/10))*EC_conector_ratio_ds)-Calculate[[#This Row],[EC_cancelation_ds]]</f>
        <v>-143.47032539791189</v>
      </c>
      <c r="R96" s="2">
        <f>10*LOG10(POWER(10,Calculate[[#This Row],[AFE_noise_us]]/10)+POWER(10,Calculate[[#This Row],[Echo_res_us]]/10))</f>
        <v>-138.38708034075574</v>
      </c>
      <c r="S96" s="2">
        <f>10*LOG10(POWER(10,Calculate[[#This Row],[AFE_noise_ds]]/10)+POWER(10,Calculate[[#This Row],[Echo_res_ds]]/10))</f>
        <v>-138.38708034075574</v>
      </c>
      <c r="T96" s="2">
        <f>Calculate[[#This Row],[Rx_PSD_us]]-Calculate[[#This Row],[Noise_us]]</f>
        <v>20.347197324067679</v>
      </c>
      <c r="U96" s="2">
        <f>Calculate[[#This Row],[Rx_PSD_ds]]-Calculate[[#This Row],[Noise_ds]]</f>
        <v>20.347197324067679</v>
      </c>
      <c r="V96" s="2">
        <f>POWER(10,Calculate[[#This Row],[SNRdB_us]]/10)</f>
        <v>108.32276383053336</v>
      </c>
      <c r="W96" s="2">
        <f>POWER(10,Calculate[[#This Row],[SNRdB_ds]]/10)</f>
        <v>108.32276383053336</v>
      </c>
      <c r="X96" s="2">
        <f>-(0.002*Calculate[[#This Row],[Freq]]/1000000/2.5+0.68*(Calculate[[#This Row],[Freq]]/1000000/2.5)^0.45)</f>
        <v>-22.800151261469225</v>
      </c>
    </row>
    <row r="97" spans="1:24" x14ac:dyDescent="0.25">
      <c r="A97" s="34">
        <f t="shared" si="14"/>
        <v>4320000000</v>
      </c>
      <c r="B97" s="1">
        <f>Calculate[[#This Row],[Freq]]-A96</f>
        <v>45000000</v>
      </c>
      <c r="C97">
        <f>Channels!B97*cable_length</f>
        <v>-19.695161414037898</v>
      </c>
      <c r="D97" s="2">
        <f>Masks!A97</f>
        <v>-98.470325397914564</v>
      </c>
      <c r="E97" s="2">
        <f>Masks!B97</f>
        <v>-98.470325397914564</v>
      </c>
      <c r="F97" s="2">
        <f>Calculate[[#This Row],[Tx_PSD_us]]+Calculate[[#This Row],[IL]]</f>
        <v>-118.16548681195246</v>
      </c>
      <c r="G97" s="2">
        <f>Calculate[[#This Row],[Tx_PSD_ds]]+Calculate[[#This Row],[IL]]</f>
        <v>-118.16548681195246</v>
      </c>
      <c r="H97" s="2">
        <f>Masks[[#This Row],[channel_echo]]</f>
        <v>-11.16565706316991</v>
      </c>
      <c r="I97" s="2">
        <f>Masks[[#This Row],[channel_echo]]</f>
        <v>-11.16565706316991</v>
      </c>
      <c r="J97" s="2">
        <f>Calculate[[#This Row],[Echo_transfer_us]]+Calculate[[#This Row],[Tx_PSD_ds]]</f>
        <v>-109.63598246108447</v>
      </c>
      <c r="K97" s="2">
        <f>Calculate[[#This Row],[Echo_transfer_ds]]+Calculate[[#This Row],[Tx_PSD_us]]</f>
        <v>-109.63598246108447</v>
      </c>
      <c r="L97" s="2">
        <f t="shared" si="10"/>
        <v>-140</v>
      </c>
      <c r="M97" s="2">
        <f t="shared" si="11"/>
        <v>-140</v>
      </c>
      <c r="N97" s="2">
        <f t="shared" si="12"/>
        <v>5</v>
      </c>
      <c r="O97" s="2">
        <f t="shared" si="13"/>
        <v>5</v>
      </c>
      <c r="P97" s="2">
        <f>10*LOG10((10^(Calculate[[#This Row],[Rx_echo_us]]/10))-(10^((Masks[[#This Row],[connector_echo]]+Calculate[[#This Row],[Tx_PSD_ds]])/10))*EC_conector_ratio_us)-Calculate[[#This Row],[EC_cancelation_us]]</f>
        <v>-143.47032539791388</v>
      </c>
      <c r="Q97" s="2">
        <f>10*LOG10((10^(Calculate[[#This Row],[Rx_echo_ds]]/10))-(10^((Masks[[#This Row],[connector_echo]]+Calculate[[#This Row],[Tx_PSD_us]])/10))*EC_conector_ratio_ds)-Calculate[[#This Row],[EC_cancelation_ds]]</f>
        <v>-143.47032539791388</v>
      </c>
      <c r="R97" s="2">
        <f>10*LOG10(POWER(10,Calculate[[#This Row],[AFE_noise_us]]/10)+POWER(10,Calculate[[#This Row],[Echo_res_us]]/10))</f>
        <v>-138.38708034075637</v>
      </c>
      <c r="S97" s="2">
        <f>10*LOG10(POWER(10,Calculate[[#This Row],[AFE_noise_ds]]/10)+POWER(10,Calculate[[#This Row],[Echo_res_ds]]/10))</f>
        <v>-138.38708034075637</v>
      </c>
      <c r="T97" s="2">
        <f>Calculate[[#This Row],[Rx_PSD_us]]-Calculate[[#This Row],[Noise_us]]</f>
        <v>20.221593528803908</v>
      </c>
      <c r="U97" s="2">
        <f>Calculate[[#This Row],[Rx_PSD_ds]]-Calculate[[#This Row],[Noise_ds]]</f>
        <v>20.221593528803908</v>
      </c>
      <c r="V97" s="2">
        <f>POWER(10,Calculate[[#This Row],[SNRdB_us]]/10)</f>
        <v>105.23479342492266</v>
      </c>
      <c r="W97" s="2">
        <f>POWER(10,Calculate[[#This Row],[SNRdB_ds]]/10)</f>
        <v>105.23479342492266</v>
      </c>
      <c r="X97" s="2">
        <f>-(0.002*Calculate[[#This Row],[Freq]]/1000000/2.5+0.68*(Calculate[[#This Row],[Freq]]/1000000/2.5)^0.45)</f>
        <v>-22.927687674675006</v>
      </c>
    </row>
    <row r="98" spans="1:24" x14ac:dyDescent="0.25">
      <c r="A98" s="34">
        <f t="shared" si="14"/>
        <v>4365000000</v>
      </c>
      <c r="B98" s="1">
        <f>Calculate[[#This Row],[Freq]]-A97</f>
        <v>45000000</v>
      </c>
      <c r="C98">
        <f>Channels!B98*cable_length</f>
        <v>-19.820349763230091</v>
      </c>
      <c r="D98" s="2">
        <f>Masks!A98</f>
        <v>-98.470325397914564</v>
      </c>
      <c r="E98" s="2">
        <f>Masks!B98</f>
        <v>-98.470325397914564</v>
      </c>
      <c r="F98" s="2">
        <f>Calculate[[#This Row],[Tx_PSD_us]]+Calculate[[#This Row],[IL]]</f>
        <v>-118.29067516114466</v>
      </c>
      <c r="G98" s="2">
        <f>Calculate[[#This Row],[Tx_PSD_ds]]+Calculate[[#This Row],[IL]]</f>
        <v>-118.29067516114466</v>
      </c>
      <c r="H98" s="2">
        <f>Masks[[#This Row],[channel_echo]]</f>
        <v>-11.122420830265119</v>
      </c>
      <c r="I98" s="2">
        <f>Masks[[#This Row],[channel_echo]]</f>
        <v>-11.122420830265119</v>
      </c>
      <c r="J98" s="2">
        <f>Calculate[[#This Row],[Echo_transfer_us]]+Calculate[[#This Row],[Tx_PSD_ds]]</f>
        <v>-109.59274622817968</v>
      </c>
      <c r="K98" s="2">
        <f>Calculate[[#This Row],[Echo_transfer_ds]]+Calculate[[#This Row],[Tx_PSD_us]]</f>
        <v>-109.59274622817968</v>
      </c>
      <c r="L98" s="2">
        <f t="shared" ref="L98:L129" si="15">AFE_noise_us</f>
        <v>-140</v>
      </c>
      <c r="M98" s="2">
        <f t="shared" ref="M98:M129" si="16">AFE_noise_ds</f>
        <v>-140</v>
      </c>
      <c r="N98" s="2">
        <f t="shared" ref="N98:N129" si="17">EC_cancel_us</f>
        <v>5</v>
      </c>
      <c r="O98" s="2">
        <f t="shared" ref="O98:O129" si="18">EC_cancel_ds</f>
        <v>5</v>
      </c>
      <c r="P98" s="2">
        <f>10*LOG10((10^(Calculate[[#This Row],[Rx_echo_us]]/10))-(10^((Masks[[#This Row],[connector_echo]]+Calculate[[#This Row],[Tx_PSD_ds]])/10))*EC_conector_ratio_us)-Calculate[[#This Row],[EC_cancelation_us]]</f>
        <v>-143.47032539791536</v>
      </c>
      <c r="Q98" s="2">
        <f>10*LOG10((10^(Calculate[[#This Row],[Rx_echo_ds]]/10))-(10^((Masks[[#This Row],[connector_echo]]+Calculate[[#This Row],[Tx_PSD_us]])/10))*EC_conector_ratio_ds)-Calculate[[#This Row],[EC_cancelation_ds]]</f>
        <v>-143.47032539791536</v>
      </c>
      <c r="R98" s="2">
        <f>10*LOG10(POWER(10,Calculate[[#This Row],[AFE_noise_us]]/10)+POWER(10,Calculate[[#This Row],[Echo_res_us]]/10))</f>
        <v>-138.38708034075682</v>
      </c>
      <c r="S98" s="2">
        <f>10*LOG10(POWER(10,Calculate[[#This Row],[AFE_noise_ds]]/10)+POWER(10,Calculate[[#This Row],[Echo_res_ds]]/10))</f>
        <v>-138.38708034075682</v>
      </c>
      <c r="T98" s="2">
        <f>Calculate[[#This Row],[Rx_PSD_us]]-Calculate[[#This Row],[Noise_us]]</f>
        <v>20.096405179612162</v>
      </c>
      <c r="U98" s="2">
        <f>Calculate[[#This Row],[Rx_PSD_ds]]-Calculate[[#This Row],[Noise_ds]]</f>
        <v>20.096405179612162</v>
      </c>
      <c r="V98" s="2">
        <f>POWER(10,Calculate[[#This Row],[SNRdB_us]]/10)</f>
        <v>102.24463242605681</v>
      </c>
      <c r="W98" s="2">
        <f>POWER(10,Calculate[[#This Row],[SNRdB_ds]]/10)</f>
        <v>102.24463242605681</v>
      </c>
      <c r="X98" s="2">
        <f>-(0.002*Calculate[[#This Row],[Freq]]/1000000/2.5+0.68*(Calculate[[#This Row],[Freq]]/1000000/2.5)^0.45)</f>
        <v>-23.054701147890917</v>
      </c>
    </row>
    <row r="99" spans="1:24" x14ac:dyDescent="0.25">
      <c r="A99" s="34">
        <f t="shared" ref="A99:A130" si="19">f_step+A98</f>
        <v>4410000000</v>
      </c>
      <c r="B99" s="1">
        <f>Calculate[[#This Row],[Freq]]-A98</f>
        <v>45000000</v>
      </c>
      <c r="C99">
        <f>Channels!B99*cable_length</f>
        <v>-19.94512907447205</v>
      </c>
      <c r="D99" s="2">
        <f>Masks!A99</f>
        <v>-98.470325397914564</v>
      </c>
      <c r="E99" s="2">
        <f>Masks!B99</f>
        <v>-98.470325397914564</v>
      </c>
      <c r="F99" s="2">
        <f>Calculate[[#This Row],[Tx_PSD_us]]+Calculate[[#This Row],[IL]]</f>
        <v>-118.41545447238661</v>
      </c>
      <c r="G99" s="2">
        <f>Calculate[[#This Row],[Tx_PSD_ds]]+Calculate[[#This Row],[IL]]</f>
        <v>-118.41545447238661</v>
      </c>
      <c r="H99" s="2">
        <f>Masks[[#This Row],[channel_echo]]</f>
        <v>-11.079610796587085</v>
      </c>
      <c r="I99" s="2">
        <f>Masks[[#This Row],[channel_echo]]</f>
        <v>-11.079610796587085</v>
      </c>
      <c r="J99" s="2">
        <f>Calculate[[#This Row],[Echo_transfer_us]]+Calculate[[#This Row],[Tx_PSD_ds]]</f>
        <v>-109.54993619450165</v>
      </c>
      <c r="K99" s="2">
        <f>Calculate[[#This Row],[Echo_transfer_ds]]+Calculate[[#This Row],[Tx_PSD_us]]</f>
        <v>-109.54993619450165</v>
      </c>
      <c r="L99" s="2">
        <f t="shared" si="15"/>
        <v>-140</v>
      </c>
      <c r="M99" s="2">
        <f t="shared" si="16"/>
        <v>-140</v>
      </c>
      <c r="N99" s="2">
        <f t="shared" si="17"/>
        <v>5</v>
      </c>
      <c r="O99" s="2">
        <f t="shared" si="18"/>
        <v>5</v>
      </c>
      <c r="P99" s="2">
        <f>10*LOG10((10^(Calculate[[#This Row],[Rx_echo_us]]/10))-(10^((Masks[[#This Row],[connector_echo]]+Calculate[[#This Row],[Tx_PSD_ds]])/10))*EC_conector_ratio_us)-Calculate[[#This Row],[EC_cancelation_us]]</f>
        <v>-143.47032539793014</v>
      </c>
      <c r="Q99" s="2">
        <f>10*LOG10((10^(Calculate[[#This Row],[Rx_echo_ds]]/10))-(10^((Masks[[#This Row],[connector_echo]]+Calculate[[#This Row],[Tx_PSD_us]])/10))*EC_conector_ratio_ds)-Calculate[[#This Row],[EC_cancelation_ds]]</f>
        <v>-143.47032539793014</v>
      </c>
      <c r="R99" s="2">
        <f>10*LOG10(POWER(10,Calculate[[#This Row],[AFE_noise_us]]/10)+POWER(10,Calculate[[#This Row],[Echo_res_us]]/10))</f>
        <v>-138.38708034076143</v>
      </c>
      <c r="S99" s="2">
        <f>10*LOG10(POWER(10,Calculate[[#This Row],[AFE_noise_ds]]/10)+POWER(10,Calculate[[#This Row],[Echo_res_ds]]/10))</f>
        <v>-138.38708034076143</v>
      </c>
      <c r="T99" s="2">
        <f>Calculate[[#This Row],[Rx_PSD_us]]-Calculate[[#This Row],[Noise_us]]</f>
        <v>19.971625868374815</v>
      </c>
      <c r="U99" s="2">
        <f>Calculate[[#This Row],[Rx_PSD_ds]]-Calculate[[#This Row],[Noise_ds]]</f>
        <v>19.971625868374815</v>
      </c>
      <c r="V99" s="2">
        <f>POWER(10,Calculate[[#This Row],[SNRdB_us]]/10)</f>
        <v>99.348791090683008</v>
      </c>
      <c r="W99" s="2">
        <f>POWER(10,Calculate[[#This Row],[SNRdB_ds]]/10)</f>
        <v>99.348791090683008</v>
      </c>
      <c r="X99" s="2">
        <f>-(0.002*Calculate[[#This Row],[Freq]]/1000000/2.5+0.68*(Calculate[[#This Row],[Freq]]/1000000/2.5)^0.45)</f>
        <v>-23.181200014024608</v>
      </c>
    </row>
    <row r="100" spans="1:24" x14ac:dyDescent="0.25">
      <c r="A100" s="34">
        <f t="shared" si="19"/>
        <v>4455000000</v>
      </c>
      <c r="B100" s="1">
        <f>Calculate[[#This Row],[Freq]]-A99</f>
        <v>45000000</v>
      </c>
      <c r="C100">
        <f>Channels!B100*cable_length</f>
        <v>-20.069505592821717</v>
      </c>
      <c r="D100" s="2">
        <f>Masks!A100</f>
        <v>-98.470325397914564</v>
      </c>
      <c r="E100" s="2">
        <f>Masks!B100</f>
        <v>-98.470325397914564</v>
      </c>
      <c r="F100" s="2">
        <f>Calculate[[#This Row],[Tx_PSD_us]]+Calculate[[#This Row],[IL]]</f>
        <v>-118.53983099073628</v>
      </c>
      <c r="G100" s="2">
        <f>Calculate[[#This Row],[Tx_PSD_ds]]+Calculate[[#This Row],[IL]]</f>
        <v>-118.53983099073628</v>
      </c>
      <c r="H100" s="2">
        <f>Masks[[#This Row],[channel_echo]]</f>
        <v>-11.037218641608789</v>
      </c>
      <c r="I100" s="2">
        <f>Masks[[#This Row],[channel_echo]]</f>
        <v>-11.037218641608789</v>
      </c>
      <c r="J100" s="2">
        <f>Calculate[[#This Row],[Echo_transfer_us]]+Calculate[[#This Row],[Tx_PSD_ds]]</f>
        <v>-109.50754403952335</v>
      </c>
      <c r="K100" s="2">
        <f>Calculate[[#This Row],[Echo_transfer_ds]]+Calculate[[#This Row],[Tx_PSD_us]]</f>
        <v>-109.50754403952335</v>
      </c>
      <c r="L100" s="2">
        <f t="shared" si="15"/>
        <v>-140</v>
      </c>
      <c r="M100" s="2">
        <f t="shared" si="16"/>
        <v>-140</v>
      </c>
      <c r="N100" s="2">
        <f t="shared" si="17"/>
        <v>5</v>
      </c>
      <c r="O100" s="2">
        <f t="shared" si="18"/>
        <v>5</v>
      </c>
      <c r="P100" s="2">
        <f>10*LOG10((10^(Calculate[[#This Row],[Rx_echo_us]]/10))-(10^((Masks[[#This Row],[connector_echo]]+Calculate[[#This Row],[Tx_PSD_ds]])/10))*EC_conector_ratio_us)-Calculate[[#This Row],[EC_cancelation_us]]</f>
        <v>-143.47032539791141</v>
      </c>
      <c r="Q100" s="2">
        <f>10*LOG10((10^(Calculate[[#This Row],[Rx_echo_ds]]/10))-(10^((Masks[[#This Row],[connector_echo]]+Calculate[[#This Row],[Tx_PSD_us]])/10))*EC_conector_ratio_ds)-Calculate[[#This Row],[EC_cancelation_ds]]</f>
        <v>-143.47032539791141</v>
      </c>
      <c r="R100" s="2">
        <f>10*LOG10(POWER(10,Calculate[[#This Row],[AFE_noise_us]]/10)+POWER(10,Calculate[[#This Row],[Echo_res_us]]/10))</f>
        <v>-138.3870803407556</v>
      </c>
      <c r="S100" s="2">
        <f>10*LOG10(POWER(10,Calculate[[#This Row],[AFE_noise_ds]]/10)+POWER(10,Calculate[[#This Row],[Echo_res_ds]]/10))</f>
        <v>-138.3870803407556</v>
      </c>
      <c r="T100" s="2">
        <f>Calculate[[#This Row],[Rx_PSD_us]]-Calculate[[#This Row],[Noise_us]]</f>
        <v>19.847249350019325</v>
      </c>
      <c r="U100" s="2">
        <f>Calculate[[#This Row],[Rx_PSD_ds]]-Calculate[[#This Row],[Noise_ds]]</f>
        <v>19.847249350019325</v>
      </c>
      <c r="V100" s="2">
        <f>POWER(10,Calculate[[#This Row],[SNRdB_us]]/10)</f>
        <v>96.543921418272532</v>
      </c>
      <c r="W100" s="2">
        <f>POWER(10,Calculate[[#This Row],[SNRdB_ds]]/10)</f>
        <v>96.543921418272532</v>
      </c>
      <c r="X100" s="2">
        <f>-(0.002*Calculate[[#This Row],[Freq]]/1000000/2.5+0.68*(Calculate[[#This Row],[Freq]]/1000000/2.5)^0.45)</f>
        <v>-23.307192389755087</v>
      </c>
    </row>
    <row r="101" spans="1:24" x14ac:dyDescent="0.25">
      <c r="A101" s="34">
        <f t="shared" si="19"/>
        <v>4500000000</v>
      </c>
      <c r="B101" s="1">
        <f>Calculate[[#This Row],[Freq]]-A100</f>
        <v>45000000</v>
      </c>
      <c r="C101">
        <f>Channels!B101*cable_length</f>
        <v>-20.193485406023711</v>
      </c>
      <c r="D101" s="2">
        <f>Masks!A101</f>
        <v>-98.470325397914564</v>
      </c>
      <c r="E101" s="2">
        <f>Masks!B101</f>
        <v>-98.470325397914564</v>
      </c>
      <c r="F101" s="2">
        <f>Calculate[[#This Row],[Tx_PSD_us]]+Calculate[[#This Row],[IL]]</f>
        <v>-118.66381080393828</v>
      </c>
      <c r="G101" s="2">
        <f>Calculate[[#This Row],[Tx_PSD_ds]]+Calculate[[#This Row],[IL]]</f>
        <v>-118.66381080393828</v>
      </c>
      <c r="H101" s="2">
        <f>Masks[[#This Row],[channel_echo]]</f>
        <v>-10.995236286107433</v>
      </c>
      <c r="I101" s="2">
        <f>Masks[[#This Row],[channel_echo]]</f>
        <v>-10.995236286107433</v>
      </c>
      <c r="J101" s="2">
        <f>Calculate[[#This Row],[Echo_transfer_us]]+Calculate[[#This Row],[Tx_PSD_ds]]</f>
        <v>-109.46556168402199</v>
      </c>
      <c r="K101" s="2">
        <f>Calculate[[#This Row],[Echo_transfer_ds]]+Calculate[[#This Row],[Tx_PSD_us]]</f>
        <v>-109.46556168402199</v>
      </c>
      <c r="L101" s="2">
        <f t="shared" si="15"/>
        <v>-140</v>
      </c>
      <c r="M101" s="2">
        <f t="shared" si="16"/>
        <v>-140</v>
      </c>
      <c r="N101" s="2">
        <f t="shared" si="17"/>
        <v>5</v>
      </c>
      <c r="O101" s="2">
        <f t="shared" si="18"/>
        <v>5</v>
      </c>
      <c r="P101" s="2">
        <f>10*LOG10((10^(Calculate[[#This Row],[Rx_echo_us]]/10))-(10^((Masks[[#This Row],[connector_echo]]+Calculate[[#This Row],[Tx_PSD_ds]])/10))*EC_conector_ratio_us)-Calculate[[#This Row],[EC_cancelation_us]]</f>
        <v>-143.47032539792127</v>
      </c>
      <c r="Q101" s="2">
        <f>10*LOG10((10^(Calculate[[#This Row],[Rx_echo_ds]]/10))-(10^((Masks[[#This Row],[connector_echo]]+Calculate[[#This Row],[Tx_PSD_us]])/10))*EC_conector_ratio_ds)-Calculate[[#This Row],[EC_cancelation_ds]]</f>
        <v>-143.47032539792127</v>
      </c>
      <c r="R101" s="2">
        <f>10*LOG10(POWER(10,Calculate[[#This Row],[AFE_noise_us]]/10)+POWER(10,Calculate[[#This Row],[Echo_res_us]]/10))</f>
        <v>-138.38708034075867</v>
      </c>
      <c r="S101" s="2">
        <f>10*LOG10(POWER(10,Calculate[[#This Row],[AFE_noise_ds]]/10)+POWER(10,Calculate[[#This Row],[Echo_res_ds]]/10))</f>
        <v>-138.38708034075867</v>
      </c>
      <c r="T101" s="2">
        <f>Calculate[[#This Row],[Rx_PSD_us]]-Calculate[[#This Row],[Noise_us]]</f>
        <v>19.723269536820396</v>
      </c>
      <c r="U101" s="2">
        <f>Calculate[[#This Row],[Rx_PSD_ds]]-Calculate[[#This Row],[Noise_ds]]</f>
        <v>19.723269536820396</v>
      </c>
      <c r="V101" s="2">
        <f>POWER(10,Calculate[[#This Row],[SNRdB_us]]/10)</f>
        <v>93.826810562016178</v>
      </c>
      <c r="W101" s="2">
        <f>POWER(10,Calculate[[#This Row],[SNRdB_ds]]/10)</f>
        <v>93.826810562016178</v>
      </c>
      <c r="X101" s="2">
        <f>-(0.002*Calculate[[#This Row],[Freq]]/1000000/2.5+0.68*(Calculate[[#This Row],[Freq]]/1000000/2.5)^0.45)</f>
        <v>-23.43268618326535</v>
      </c>
    </row>
    <row r="102" spans="1:24" x14ac:dyDescent="0.25">
      <c r="A102" s="34">
        <f t="shared" si="19"/>
        <v>4545000000</v>
      </c>
      <c r="B102" s="1">
        <f>Calculate[[#This Row],[Freq]]-A101</f>
        <v>45000000</v>
      </c>
      <c r="C102">
        <f>Channels!B102*cable_length</f>
        <v>-20.317074450001879</v>
      </c>
      <c r="D102" s="2">
        <f>Masks!A102</f>
        <v>-98.470325397914564</v>
      </c>
      <c r="E102" s="2">
        <f>Masks!B102</f>
        <v>-98.470325397914564</v>
      </c>
      <c r="F102" s="2">
        <f>Calculate[[#This Row],[Tx_PSD_us]]+Calculate[[#This Row],[IL]]</f>
        <v>-118.78739984791645</v>
      </c>
      <c r="G102" s="2">
        <f>Calculate[[#This Row],[Tx_PSD_ds]]+Calculate[[#This Row],[IL]]</f>
        <v>-118.78739984791645</v>
      </c>
      <c r="H102" s="2">
        <f>Masks[[#This Row],[channel_echo]]</f>
        <v>-10.953655882922941</v>
      </c>
      <c r="I102" s="2">
        <f>Masks[[#This Row],[channel_echo]]</f>
        <v>-10.953655882922941</v>
      </c>
      <c r="J102" s="2">
        <f>Calculate[[#This Row],[Echo_transfer_us]]+Calculate[[#This Row],[Tx_PSD_ds]]</f>
        <v>-109.42398128083751</v>
      </c>
      <c r="K102" s="2">
        <f>Calculate[[#This Row],[Echo_transfer_ds]]+Calculate[[#This Row],[Tx_PSD_us]]</f>
        <v>-109.42398128083751</v>
      </c>
      <c r="L102" s="2">
        <f t="shared" si="15"/>
        <v>-140</v>
      </c>
      <c r="M102" s="2">
        <f t="shared" si="16"/>
        <v>-140</v>
      </c>
      <c r="N102" s="2">
        <f t="shared" si="17"/>
        <v>5</v>
      </c>
      <c r="O102" s="2">
        <f t="shared" si="18"/>
        <v>5</v>
      </c>
      <c r="P102" s="2">
        <f>10*LOG10((10^(Calculate[[#This Row],[Rx_echo_us]]/10))-(10^((Masks[[#This Row],[connector_echo]]+Calculate[[#This Row],[Tx_PSD_ds]])/10))*EC_conector_ratio_us)-Calculate[[#This Row],[EC_cancelation_us]]</f>
        <v>-143.47032539791584</v>
      </c>
      <c r="Q102" s="2">
        <f>10*LOG10((10^(Calculate[[#This Row],[Rx_echo_ds]]/10))-(10^((Masks[[#This Row],[connector_echo]]+Calculate[[#This Row],[Tx_PSD_us]])/10))*EC_conector_ratio_ds)-Calculate[[#This Row],[EC_cancelation_ds]]</f>
        <v>-143.47032539791584</v>
      </c>
      <c r="R102" s="2">
        <f>10*LOG10(POWER(10,Calculate[[#This Row],[AFE_noise_us]]/10)+POWER(10,Calculate[[#This Row],[Echo_res_us]]/10))</f>
        <v>-138.38708034075697</v>
      </c>
      <c r="S102" s="2">
        <f>10*LOG10(POWER(10,Calculate[[#This Row],[AFE_noise_ds]]/10)+POWER(10,Calculate[[#This Row],[Echo_res_ds]]/10))</f>
        <v>-138.38708034075697</v>
      </c>
      <c r="T102" s="2">
        <f>Calculate[[#This Row],[Rx_PSD_us]]-Calculate[[#This Row],[Noise_us]]</f>
        <v>19.59968049284052</v>
      </c>
      <c r="U102" s="2">
        <f>Calculate[[#This Row],[Rx_PSD_ds]]-Calculate[[#This Row],[Noise_ds]]</f>
        <v>19.59968049284052</v>
      </c>
      <c r="V102" s="2">
        <f>POWER(10,Calculate[[#This Row],[SNRdB_us]]/10)</f>
        <v>91.19437458775711</v>
      </c>
      <c r="W102" s="2">
        <f>POWER(10,Calculate[[#This Row],[SNRdB_ds]]/10)</f>
        <v>91.19437458775711</v>
      </c>
      <c r="X102" s="2">
        <f>-(0.002*Calculate[[#This Row],[Freq]]/1000000/2.5+0.68*(Calculate[[#This Row],[Freq]]/1000000/2.5)^0.45)</f>
        <v>-23.557689101624021</v>
      </c>
    </row>
    <row r="103" spans="1:24" x14ac:dyDescent="0.25">
      <c r="A103" s="34">
        <f t="shared" si="19"/>
        <v>4590000000</v>
      </c>
      <c r="B103" s="1">
        <f>Calculate[[#This Row],[Freq]]-A102</f>
        <v>45000000</v>
      </c>
      <c r="C103">
        <f>Channels!B103*cable_length</f>
        <v>-20.440278514107721</v>
      </c>
      <c r="D103" s="2">
        <f>Masks!A103</f>
        <v>-98.470325397914564</v>
      </c>
      <c r="E103" s="2">
        <f>Masks!B103</f>
        <v>-98.470325397914564</v>
      </c>
      <c r="F103" s="2">
        <f>Calculate[[#This Row],[Tx_PSD_us]]+Calculate[[#This Row],[IL]]</f>
        <v>-118.91060391202228</v>
      </c>
      <c r="G103" s="2">
        <f>Calculate[[#This Row],[Tx_PSD_ds]]+Calculate[[#This Row],[IL]]</f>
        <v>-118.91060391202228</v>
      </c>
      <c r="H103" s="2">
        <f>Masks[[#This Row],[channel_echo]]</f>
        <v>-10.912469808154663</v>
      </c>
      <c r="I103" s="2">
        <f>Masks[[#This Row],[channel_echo]]</f>
        <v>-10.912469808154663</v>
      </c>
      <c r="J103" s="2">
        <f>Calculate[[#This Row],[Echo_transfer_us]]+Calculate[[#This Row],[Tx_PSD_ds]]</f>
        <v>-109.38279520606923</v>
      </c>
      <c r="K103" s="2">
        <f>Calculate[[#This Row],[Echo_transfer_ds]]+Calculate[[#This Row],[Tx_PSD_us]]</f>
        <v>-109.38279520606923</v>
      </c>
      <c r="L103" s="2">
        <f t="shared" si="15"/>
        <v>-140</v>
      </c>
      <c r="M103" s="2">
        <f t="shared" si="16"/>
        <v>-140</v>
      </c>
      <c r="N103" s="2">
        <f t="shared" si="17"/>
        <v>5</v>
      </c>
      <c r="O103" s="2">
        <f t="shared" si="18"/>
        <v>5</v>
      </c>
      <c r="P103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103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103" s="2">
        <f>10*LOG10(POWER(10,Calculate[[#This Row],[AFE_noise_us]]/10)+POWER(10,Calculate[[#This Row],[Echo_res_us]]/10))</f>
        <v>-138.38708034075592</v>
      </c>
      <c r="S103" s="2">
        <f>10*LOG10(POWER(10,Calculate[[#This Row],[AFE_noise_ds]]/10)+POWER(10,Calculate[[#This Row],[Echo_res_ds]]/10))</f>
        <v>-138.38708034075592</v>
      </c>
      <c r="T103" s="2">
        <f>Calculate[[#This Row],[Rx_PSD_us]]-Calculate[[#This Row],[Noise_us]]</f>
        <v>19.476476428733633</v>
      </c>
      <c r="U103" s="2">
        <f>Calculate[[#This Row],[Rx_PSD_ds]]-Calculate[[#This Row],[Noise_ds]]</f>
        <v>19.476476428733633</v>
      </c>
      <c r="V103" s="2">
        <f>POWER(10,Calculate[[#This Row],[SNRdB_us]]/10)</f>
        <v>88.643652565007969</v>
      </c>
      <c r="W103" s="2">
        <f>POWER(10,Calculate[[#This Row],[SNRdB_ds]]/10)</f>
        <v>88.643652565007969</v>
      </c>
      <c r="X103" s="2">
        <f>-(0.002*Calculate[[#This Row],[Freq]]/1000000/2.5+0.68*(Calculate[[#This Row],[Freq]]/1000000/2.5)^0.45)</f>
        <v>-23.682208657835531</v>
      </c>
    </row>
    <row r="104" spans="1:24" x14ac:dyDescent="0.25">
      <c r="A104" s="34">
        <f t="shared" si="19"/>
        <v>4635000000</v>
      </c>
      <c r="B104" s="1">
        <f>Calculate[[#This Row],[Freq]]-A103</f>
        <v>45000000</v>
      </c>
      <c r="C104">
        <f>Channels!B104*cable_length</f>
        <v>-20.563103246137786</v>
      </c>
      <c r="D104" s="2">
        <f>Masks!A104</f>
        <v>-98.470325397914564</v>
      </c>
      <c r="E104" s="2">
        <f>Masks!B104</f>
        <v>-98.470325397914564</v>
      </c>
      <c r="F104" s="2">
        <f>Calculate[[#This Row],[Tx_PSD_us]]+Calculate[[#This Row],[IL]]</f>
        <v>-119.03342864405235</v>
      </c>
      <c r="G104" s="2">
        <f>Calculate[[#This Row],[Tx_PSD_ds]]+Calculate[[#This Row],[IL]]</f>
        <v>-119.03342864405235</v>
      </c>
      <c r="H104" s="2">
        <f>Masks[[#This Row],[channel_echo]]</f>
        <v>-10.871670652771622</v>
      </c>
      <c r="I104" s="2">
        <f>Masks[[#This Row],[channel_echo]]</f>
        <v>-10.871670652771622</v>
      </c>
      <c r="J104" s="2">
        <f>Calculate[[#This Row],[Echo_transfer_us]]+Calculate[[#This Row],[Tx_PSD_ds]]</f>
        <v>-109.34199605068619</v>
      </c>
      <c r="K104" s="2">
        <f>Calculate[[#This Row],[Echo_transfer_ds]]+Calculate[[#This Row],[Tx_PSD_us]]</f>
        <v>-109.34199605068619</v>
      </c>
      <c r="L104" s="2">
        <f t="shared" si="15"/>
        <v>-140</v>
      </c>
      <c r="M104" s="2">
        <f t="shared" si="16"/>
        <v>-140</v>
      </c>
      <c r="N104" s="2">
        <f t="shared" si="17"/>
        <v>5</v>
      </c>
      <c r="O104" s="2">
        <f t="shared" si="18"/>
        <v>5</v>
      </c>
      <c r="P104" s="2">
        <f>10*LOG10((10^(Calculate[[#This Row],[Rx_echo_us]]/10))-(10^((Masks[[#This Row],[connector_echo]]+Calculate[[#This Row],[Tx_PSD_ds]])/10))*EC_conector_ratio_us)-Calculate[[#This Row],[EC_cancelation_us]]</f>
        <v>-143.47032539792275</v>
      </c>
      <c r="Q104" s="2">
        <f>10*LOG10((10^(Calculate[[#This Row],[Rx_echo_ds]]/10))-(10^((Masks[[#This Row],[connector_echo]]+Calculate[[#This Row],[Tx_PSD_us]])/10))*EC_conector_ratio_ds)-Calculate[[#This Row],[EC_cancelation_ds]]</f>
        <v>-143.47032539792275</v>
      </c>
      <c r="R104" s="2">
        <f>10*LOG10(POWER(10,Calculate[[#This Row],[AFE_noise_us]]/10)+POWER(10,Calculate[[#This Row],[Echo_res_us]]/10))</f>
        <v>-138.38708034075913</v>
      </c>
      <c r="S104" s="2">
        <f>10*LOG10(POWER(10,Calculate[[#This Row],[AFE_noise_ds]]/10)+POWER(10,Calculate[[#This Row],[Echo_res_ds]]/10))</f>
        <v>-138.38708034075913</v>
      </c>
      <c r="T104" s="2">
        <f>Calculate[[#This Row],[Rx_PSD_us]]-Calculate[[#This Row],[Noise_us]]</f>
        <v>19.353651696706777</v>
      </c>
      <c r="U104" s="2">
        <f>Calculate[[#This Row],[Rx_PSD_ds]]-Calculate[[#This Row],[Noise_ds]]</f>
        <v>19.353651696706777</v>
      </c>
      <c r="V104" s="2">
        <f>POWER(10,Calculate[[#This Row],[SNRdB_us]]/10)</f>
        <v>86.171800965953466</v>
      </c>
      <c r="W104" s="2">
        <f>POWER(10,Calculate[[#This Row],[SNRdB_ds]]/10)</f>
        <v>86.171800965953466</v>
      </c>
      <c r="X104" s="2">
        <f>-(0.002*Calculate[[#This Row],[Freq]]/1000000/2.5+0.68*(Calculate[[#This Row],[Freq]]/1000000/2.5)^0.45)</f>
        <v>-23.806252177576393</v>
      </c>
    </row>
    <row r="105" spans="1:24" x14ac:dyDescent="0.25">
      <c r="A105" s="34">
        <f t="shared" si="19"/>
        <v>4680000000</v>
      </c>
      <c r="B105" s="1">
        <f>Calculate[[#This Row],[Freq]]-A104</f>
        <v>45000000</v>
      </c>
      <c r="C105">
        <f>Channels!B105*cable_length</f>
        <v>-20.685554157132422</v>
      </c>
      <c r="D105" s="2">
        <f>Masks!A105</f>
        <v>-98.470325397914564</v>
      </c>
      <c r="E105" s="2">
        <f>Masks!B105</f>
        <v>-98.470325397914564</v>
      </c>
      <c r="F105" s="2">
        <f>Calculate[[#This Row],[Tx_PSD_us]]+Calculate[[#This Row],[IL]]</f>
        <v>-119.15587955504699</v>
      </c>
      <c r="G105" s="2">
        <f>Calculate[[#This Row],[Tx_PSD_ds]]+Calculate[[#This Row],[IL]]</f>
        <v>-119.15587955504699</v>
      </c>
      <c r="H105" s="2">
        <f>Masks[[#This Row],[channel_echo]]</f>
        <v>-10.831251214613168</v>
      </c>
      <c r="I105" s="2">
        <f>Masks[[#This Row],[channel_echo]]</f>
        <v>-10.831251214613168</v>
      </c>
      <c r="J105" s="2">
        <f>Calculate[[#This Row],[Echo_transfer_us]]+Calculate[[#This Row],[Tx_PSD_ds]]</f>
        <v>-109.30157661252773</v>
      </c>
      <c r="K105" s="2">
        <f>Calculate[[#This Row],[Echo_transfer_ds]]+Calculate[[#This Row],[Tx_PSD_us]]</f>
        <v>-109.30157661252773</v>
      </c>
      <c r="L105" s="2">
        <f t="shared" si="15"/>
        <v>-140</v>
      </c>
      <c r="M105" s="2">
        <f t="shared" si="16"/>
        <v>-140</v>
      </c>
      <c r="N105" s="2">
        <f t="shared" si="17"/>
        <v>5</v>
      </c>
      <c r="O105" s="2">
        <f t="shared" si="18"/>
        <v>5</v>
      </c>
      <c r="P105" s="2">
        <f>10*LOG10((10^(Calculate[[#This Row],[Rx_echo_us]]/10))-(10^((Masks[[#This Row],[connector_echo]]+Calculate[[#This Row],[Tx_PSD_ds]])/10))*EC_conector_ratio_us)-Calculate[[#This Row],[EC_cancelation_us]]</f>
        <v>-143.47032539790155</v>
      </c>
      <c r="Q105" s="2">
        <f>10*LOG10((10^(Calculate[[#This Row],[Rx_echo_ds]]/10))-(10^((Masks[[#This Row],[connector_echo]]+Calculate[[#This Row],[Tx_PSD_us]])/10))*EC_conector_ratio_ds)-Calculate[[#This Row],[EC_cancelation_ds]]</f>
        <v>-143.47032539790155</v>
      </c>
      <c r="R105" s="2">
        <f>10*LOG10(POWER(10,Calculate[[#This Row],[AFE_noise_us]]/10)+POWER(10,Calculate[[#This Row],[Echo_res_us]]/10))</f>
        <v>-138.38708034075256</v>
      </c>
      <c r="S105" s="2">
        <f>10*LOG10(POWER(10,Calculate[[#This Row],[AFE_noise_ds]]/10)+POWER(10,Calculate[[#This Row],[Echo_res_ds]]/10))</f>
        <v>-138.38708034075256</v>
      </c>
      <c r="T105" s="2">
        <f>Calculate[[#This Row],[Rx_PSD_us]]-Calculate[[#This Row],[Noise_us]]</f>
        <v>19.231200785705568</v>
      </c>
      <c r="U105" s="2">
        <f>Calculate[[#This Row],[Rx_PSD_ds]]-Calculate[[#This Row],[Noise_ds]]</f>
        <v>19.231200785705568</v>
      </c>
      <c r="V105" s="2">
        <f>POWER(10,Calculate[[#This Row],[SNRdB_us]]/10)</f>
        <v>83.776088355801292</v>
      </c>
      <c r="W105" s="2">
        <f>POWER(10,Calculate[[#This Row],[SNRdB_ds]]/10)</f>
        <v>83.776088355801292</v>
      </c>
      <c r="X105" s="2">
        <f>-(0.002*Calculate[[#This Row],[Freq]]/1000000/2.5+0.68*(Calculate[[#This Row],[Freq]]/1000000/2.5)^0.45)</f>
        <v>-23.929826805634903</v>
      </c>
    </row>
    <row r="106" spans="1:24" x14ac:dyDescent="0.25">
      <c r="A106" s="34">
        <f t="shared" si="19"/>
        <v>4725000000</v>
      </c>
      <c r="B106" s="1">
        <f>Calculate[[#This Row],[Freq]]-A105</f>
        <v>45000000</v>
      </c>
      <c r="C106">
        <f>Channels!B106*cable_length</f>
        <v>-20.807636625967373</v>
      </c>
      <c r="D106" s="2">
        <f>Masks!A106</f>
        <v>-98.470325397914564</v>
      </c>
      <c r="E106" s="2">
        <f>Masks!B106</f>
        <v>-98.470325397914564</v>
      </c>
      <c r="F106" s="2">
        <f>Calculate[[#This Row],[Tx_PSD_us]]+Calculate[[#This Row],[IL]]</f>
        <v>-119.27796202388194</v>
      </c>
      <c r="G106" s="2">
        <f>Calculate[[#This Row],[Tx_PSD_ds]]+Calculate[[#This Row],[IL]]</f>
        <v>-119.27796202388194</v>
      </c>
      <c r="H106" s="2">
        <f>Masks[[#This Row],[channel_echo]]</f>
        <v>-10.791204490758473</v>
      </c>
      <c r="I106" s="2">
        <f>Masks[[#This Row],[channel_echo]]</f>
        <v>-10.791204490758473</v>
      </c>
      <c r="J106" s="2">
        <f>Calculate[[#This Row],[Echo_transfer_us]]+Calculate[[#This Row],[Tx_PSD_ds]]</f>
        <v>-109.26152988867304</v>
      </c>
      <c r="K106" s="2">
        <f>Calculate[[#This Row],[Echo_transfer_ds]]+Calculate[[#This Row],[Tx_PSD_us]]</f>
        <v>-109.26152988867304</v>
      </c>
      <c r="L106" s="2">
        <f t="shared" si="15"/>
        <v>-140</v>
      </c>
      <c r="M106" s="2">
        <f t="shared" si="16"/>
        <v>-140</v>
      </c>
      <c r="N106" s="2">
        <f t="shared" si="17"/>
        <v>5</v>
      </c>
      <c r="O106" s="2">
        <f t="shared" si="18"/>
        <v>5</v>
      </c>
      <c r="P106" s="2">
        <f>10*LOG10((10^(Calculate[[#This Row],[Rx_echo_us]]/10))-(10^((Masks[[#This Row],[connector_echo]]+Calculate[[#This Row],[Tx_PSD_ds]])/10))*EC_conector_ratio_us)-Calculate[[#This Row],[EC_cancelation_us]]</f>
        <v>-143.4703253979188</v>
      </c>
      <c r="Q106" s="2">
        <f>10*LOG10((10^(Calculate[[#This Row],[Rx_echo_ds]]/10))-(10^((Masks[[#This Row],[connector_echo]]+Calculate[[#This Row],[Tx_PSD_us]])/10))*EC_conector_ratio_ds)-Calculate[[#This Row],[EC_cancelation_ds]]</f>
        <v>-143.4703253979188</v>
      </c>
      <c r="R106" s="2">
        <f>10*LOG10(POWER(10,Calculate[[#This Row],[AFE_noise_us]]/10)+POWER(10,Calculate[[#This Row],[Echo_res_us]]/10))</f>
        <v>-138.3870803407579</v>
      </c>
      <c r="S106" s="2">
        <f>10*LOG10(POWER(10,Calculate[[#This Row],[AFE_noise_ds]]/10)+POWER(10,Calculate[[#This Row],[Echo_res_ds]]/10))</f>
        <v>-138.3870803407579</v>
      </c>
      <c r="T106" s="2">
        <f>Calculate[[#This Row],[Rx_PSD_us]]-Calculate[[#This Row],[Noise_us]]</f>
        <v>19.109118316875964</v>
      </c>
      <c r="U106" s="2">
        <f>Calculate[[#This Row],[Rx_PSD_ds]]-Calculate[[#This Row],[Noise_ds]]</f>
        <v>19.109118316875964</v>
      </c>
      <c r="V106" s="2">
        <f>POWER(10,Calculate[[#This Row],[SNRdB_us]]/10)</f>
        <v>81.453890358447865</v>
      </c>
      <c r="W106" s="2">
        <f>POWER(10,Calculate[[#This Row],[SNRdB_ds]]/10)</f>
        <v>81.453890358447865</v>
      </c>
      <c r="X106" s="2">
        <f>-(0.002*Calculate[[#This Row],[Freq]]/1000000/2.5+0.68*(Calculate[[#This Row],[Freq]]/1000000/2.5)^0.45)</f>
        <v>-24.052939512069642</v>
      </c>
    </row>
    <row r="107" spans="1:24" x14ac:dyDescent="0.25">
      <c r="A107" s="34">
        <f t="shared" si="19"/>
        <v>4770000000</v>
      </c>
      <c r="B107" s="1">
        <f>Calculate[[#This Row],[Freq]]-A106</f>
        <v>45000000</v>
      </c>
      <c r="C107">
        <f>Channels!B107*cable_length</f>
        <v>-20.929355903748981</v>
      </c>
      <c r="D107" s="2">
        <f>Masks!A107</f>
        <v>-98.470325397914564</v>
      </c>
      <c r="E107" s="2">
        <f>Masks!B107</f>
        <v>-98.470325397914564</v>
      </c>
      <c r="F107" s="2">
        <f>Calculate[[#This Row],[Tx_PSD_us]]+Calculate[[#This Row],[IL]]</f>
        <v>-119.39968130166355</v>
      </c>
      <c r="G107" s="2">
        <f>Calculate[[#This Row],[Tx_PSD_ds]]+Calculate[[#This Row],[IL]]</f>
        <v>-119.39968130166355</v>
      </c>
      <c r="H107" s="2">
        <f>Masks[[#This Row],[channel_echo]]</f>
        <v>-10.75152367024463</v>
      </c>
      <c r="I107" s="2">
        <f>Masks[[#This Row],[channel_echo]]</f>
        <v>-10.75152367024463</v>
      </c>
      <c r="J107" s="2">
        <f>Calculate[[#This Row],[Echo_transfer_us]]+Calculate[[#This Row],[Tx_PSD_ds]]</f>
        <v>-109.2218490681592</v>
      </c>
      <c r="K107" s="2">
        <f>Calculate[[#This Row],[Echo_transfer_ds]]+Calculate[[#This Row],[Tx_PSD_us]]</f>
        <v>-109.2218490681592</v>
      </c>
      <c r="L107" s="2">
        <f t="shared" si="15"/>
        <v>-140</v>
      </c>
      <c r="M107" s="2">
        <f t="shared" si="16"/>
        <v>-140</v>
      </c>
      <c r="N107" s="2">
        <f t="shared" si="17"/>
        <v>5</v>
      </c>
      <c r="O107" s="2">
        <f t="shared" si="18"/>
        <v>5</v>
      </c>
      <c r="P107" s="2">
        <f>10*LOG10((10^(Calculate[[#This Row],[Rx_echo_us]]/10))-(10^((Masks[[#This Row],[connector_echo]]+Calculate[[#This Row],[Tx_PSD_ds]])/10))*EC_conector_ratio_us)-Calculate[[#This Row],[EC_cancelation_us]]</f>
        <v>-143.47032539791488</v>
      </c>
      <c r="Q107" s="2">
        <f>10*LOG10((10^(Calculate[[#This Row],[Rx_echo_ds]]/10))-(10^((Masks[[#This Row],[connector_echo]]+Calculate[[#This Row],[Tx_PSD_us]])/10))*EC_conector_ratio_ds)-Calculate[[#This Row],[EC_cancelation_ds]]</f>
        <v>-143.47032539791488</v>
      </c>
      <c r="R107" s="2">
        <f>10*LOG10(POWER(10,Calculate[[#This Row],[AFE_noise_us]]/10)+POWER(10,Calculate[[#This Row],[Echo_res_us]]/10))</f>
        <v>-138.38708034075668</v>
      </c>
      <c r="S107" s="2">
        <f>10*LOG10(POWER(10,Calculate[[#This Row],[AFE_noise_ds]]/10)+POWER(10,Calculate[[#This Row],[Echo_res_ds]]/10))</f>
        <v>-138.38708034075668</v>
      </c>
      <c r="T107" s="2">
        <f>Calculate[[#This Row],[Rx_PSD_us]]-Calculate[[#This Row],[Noise_us]]</f>
        <v>18.987399039093134</v>
      </c>
      <c r="U107" s="2">
        <f>Calculate[[#This Row],[Rx_PSD_ds]]-Calculate[[#This Row],[Noise_ds]]</f>
        <v>18.987399039093134</v>
      </c>
      <c r="V107" s="2">
        <f>POWER(10,Calculate[[#This Row],[SNRdB_us]]/10)</f>
        <v>79.202684877524447</v>
      </c>
      <c r="W107" s="2">
        <f>POWER(10,Calculate[[#This Row],[SNRdB_ds]]/10)</f>
        <v>79.202684877524447</v>
      </c>
      <c r="X107" s="2">
        <f>-(0.002*Calculate[[#This Row],[Freq]]/1000000/2.5+0.68*(Calculate[[#This Row],[Freq]]/1000000/2.5)^0.45)</f>
        <v>-24.175597098101878</v>
      </c>
    </row>
    <row r="108" spans="1:24" x14ac:dyDescent="0.25">
      <c r="A108" s="34">
        <f t="shared" si="19"/>
        <v>4815000000</v>
      </c>
      <c r="B108" s="1">
        <f>Calculate[[#This Row],[Freq]]-A107</f>
        <v>45000000</v>
      </c>
      <c r="C108">
        <f>Channels!B108*cable_length</f>
        <v>-21.050717118023307</v>
      </c>
      <c r="D108" s="2">
        <f>Masks!A108</f>
        <v>-98.470325397914564</v>
      </c>
      <c r="E108" s="2">
        <f>Masks!B108</f>
        <v>-98.470325397914564</v>
      </c>
      <c r="F108" s="2">
        <f>Calculate[[#This Row],[Tx_PSD_us]]+Calculate[[#This Row],[IL]]</f>
        <v>-119.52104251593786</v>
      </c>
      <c r="G108" s="2">
        <f>Calculate[[#This Row],[Tx_PSD_ds]]+Calculate[[#This Row],[IL]]</f>
        <v>-119.52104251593786</v>
      </c>
      <c r="H108" s="2">
        <f>Masks[[#This Row],[channel_echo]]</f>
        <v>-10.71220212711442</v>
      </c>
      <c r="I108" s="2">
        <f>Masks[[#This Row],[channel_echo]]</f>
        <v>-10.71220212711442</v>
      </c>
      <c r="J108" s="2">
        <f>Calculate[[#This Row],[Echo_transfer_us]]+Calculate[[#This Row],[Tx_PSD_ds]]</f>
        <v>-109.18252752502899</v>
      </c>
      <c r="K108" s="2">
        <f>Calculate[[#This Row],[Echo_transfer_ds]]+Calculate[[#This Row],[Tx_PSD_us]]</f>
        <v>-109.18252752502899</v>
      </c>
      <c r="L108" s="2">
        <f t="shared" si="15"/>
        <v>-140</v>
      </c>
      <c r="M108" s="2">
        <f t="shared" si="16"/>
        <v>-140</v>
      </c>
      <c r="N108" s="2">
        <f t="shared" si="17"/>
        <v>5</v>
      </c>
      <c r="O108" s="2">
        <f t="shared" si="18"/>
        <v>5</v>
      </c>
      <c r="P108" s="2">
        <f>10*LOG10((10^(Calculate[[#This Row],[Rx_echo_us]]/10))-(10^((Masks[[#This Row],[connector_echo]]+Calculate[[#This Row],[Tx_PSD_ds]])/10))*EC_conector_ratio_us)-Calculate[[#This Row],[EC_cancelation_us]]</f>
        <v>-143.47032539790843</v>
      </c>
      <c r="Q108" s="2">
        <f>10*LOG10((10^(Calculate[[#This Row],[Rx_echo_ds]]/10))-(10^((Masks[[#This Row],[connector_echo]]+Calculate[[#This Row],[Tx_PSD_us]])/10))*EC_conector_ratio_ds)-Calculate[[#This Row],[EC_cancelation_ds]]</f>
        <v>-143.47032539790843</v>
      </c>
      <c r="R108" s="2">
        <f>10*LOG10(POWER(10,Calculate[[#This Row],[AFE_noise_us]]/10)+POWER(10,Calculate[[#This Row],[Echo_res_us]]/10))</f>
        <v>-138.38708034075469</v>
      </c>
      <c r="S108" s="2">
        <f>10*LOG10(POWER(10,Calculate[[#This Row],[AFE_noise_ds]]/10)+POWER(10,Calculate[[#This Row],[Echo_res_ds]]/10))</f>
        <v>-138.38708034075469</v>
      </c>
      <c r="T108" s="2">
        <f>Calculate[[#This Row],[Rx_PSD_us]]-Calculate[[#This Row],[Noise_us]]</f>
        <v>18.866037824816829</v>
      </c>
      <c r="U108" s="2">
        <f>Calculate[[#This Row],[Rx_PSD_ds]]-Calculate[[#This Row],[Noise_ds]]</f>
        <v>18.866037824816829</v>
      </c>
      <c r="V108" s="2">
        <f>POWER(10,Calculate[[#This Row],[SNRdB_us]]/10)</f>
        <v>77.020047563079615</v>
      </c>
      <c r="W108" s="2">
        <f>POWER(10,Calculate[[#This Row],[SNRdB_ds]]/10)</f>
        <v>77.020047563079615</v>
      </c>
      <c r="X108" s="2">
        <f>-(0.002*Calculate[[#This Row],[Freq]]/1000000/2.5+0.68*(Calculate[[#This Row],[Freq]]/1000000/2.5)^0.45)</f>
        <v>-24.297806201755762</v>
      </c>
    </row>
    <row r="109" spans="1:24" x14ac:dyDescent="0.25">
      <c r="A109" s="34">
        <f t="shared" si="19"/>
        <v>4860000000</v>
      </c>
      <c r="B109" s="1">
        <f>Calculate[[#This Row],[Freq]]-A108</f>
        <v>45000000</v>
      </c>
      <c r="C109">
        <f>Channels!B109*cable_length</f>
        <v>-21.171725276808601</v>
      </c>
      <c r="D109" s="2">
        <f>Masks!A109</f>
        <v>-98.470325397914564</v>
      </c>
      <c r="E109" s="2">
        <f>Masks!B109</f>
        <v>-98.470325397914564</v>
      </c>
      <c r="F109" s="2">
        <f>Calculate[[#This Row],[Tx_PSD_us]]+Calculate[[#This Row],[IL]]</f>
        <v>-119.64205067472317</v>
      </c>
      <c r="G109" s="2">
        <f>Calculate[[#This Row],[Tx_PSD_ds]]+Calculate[[#This Row],[IL]]</f>
        <v>-119.64205067472317</v>
      </c>
      <c r="H109" s="2">
        <f>Masks[[#This Row],[channel_echo]]</f>
        <v>-10.673233413775996</v>
      </c>
      <c r="I109" s="2">
        <f>Masks[[#This Row],[channel_echo]]</f>
        <v>-10.673233413775996</v>
      </c>
      <c r="J109" s="2">
        <f>Calculate[[#This Row],[Echo_transfer_us]]+Calculate[[#This Row],[Tx_PSD_ds]]</f>
        <v>-109.14355881169055</v>
      </c>
      <c r="K109" s="2">
        <f>Calculate[[#This Row],[Echo_transfer_ds]]+Calculate[[#This Row],[Tx_PSD_us]]</f>
        <v>-109.14355881169055</v>
      </c>
      <c r="L109" s="2">
        <f t="shared" si="15"/>
        <v>-140</v>
      </c>
      <c r="M109" s="2">
        <f t="shared" si="16"/>
        <v>-140</v>
      </c>
      <c r="N109" s="2">
        <f t="shared" si="17"/>
        <v>5</v>
      </c>
      <c r="O109" s="2">
        <f t="shared" si="18"/>
        <v>5</v>
      </c>
      <c r="P109" s="2">
        <f>10*LOG10((10^(Calculate[[#This Row],[Rx_echo_us]]/10))-(10^((Masks[[#This Row],[connector_echo]]+Calculate[[#This Row],[Tx_PSD_ds]])/10))*EC_conector_ratio_us)-Calculate[[#This Row],[EC_cancelation_us]]</f>
        <v>-143.47032539791633</v>
      </c>
      <c r="Q109" s="2">
        <f>10*LOG10((10^(Calculate[[#This Row],[Rx_echo_ds]]/10))-(10^((Masks[[#This Row],[connector_echo]]+Calculate[[#This Row],[Tx_PSD_us]])/10))*EC_conector_ratio_ds)-Calculate[[#This Row],[EC_cancelation_ds]]</f>
        <v>-143.47032539791633</v>
      </c>
      <c r="R109" s="2">
        <f>10*LOG10(POWER(10,Calculate[[#This Row],[AFE_noise_us]]/10)+POWER(10,Calculate[[#This Row],[Echo_res_us]]/10))</f>
        <v>-138.38708034075714</v>
      </c>
      <c r="S109" s="2">
        <f>10*LOG10(POWER(10,Calculate[[#This Row],[AFE_noise_ds]]/10)+POWER(10,Calculate[[#This Row],[Echo_res_ds]]/10))</f>
        <v>-138.38708034075714</v>
      </c>
      <c r="T109" s="2">
        <f>Calculate[[#This Row],[Rx_PSD_us]]-Calculate[[#This Row],[Noise_us]]</f>
        <v>18.745029666033972</v>
      </c>
      <c r="U109" s="2">
        <f>Calculate[[#This Row],[Rx_PSD_ds]]-Calculate[[#This Row],[Noise_ds]]</f>
        <v>18.745029666033972</v>
      </c>
      <c r="V109" s="2">
        <f>POWER(10,Calculate[[#This Row],[SNRdB_us]]/10)</f>
        <v>74.903647505415094</v>
      </c>
      <c r="W109" s="2">
        <f>POWER(10,Calculate[[#This Row],[SNRdB_ds]]/10)</f>
        <v>74.903647505415094</v>
      </c>
      <c r="X109" s="2">
        <f>-(0.002*Calculate[[#This Row],[Freq]]/1000000/2.5+0.68*(Calculate[[#This Row],[Freq]]/1000000/2.5)^0.45)</f>
        <v>-24.419573303259053</v>
      </c>
    </row>
    <row r="110" spans="1:24" x14ac:dyDescent="0.25">
      <c r="A110" s="34">
        <f t="shared" si="19"/>
        <v>4905000000</v>
      </c>
      <c r="B110" s="1">
        <f>Calculate[[#This Row],[Freq]]-A109</f>
        <v>45000000</v>
      </c>
      <c r="C110">
        <f>Channels!B110*cable_length</f>
        <v>-21.292385272460113</v>
      </c>
      <c r="D110" s="2">
        <f>Masks!A110</f>
        <v>-98.470325397914564</v>
      </c>
      <c r="E110" s="2">
        <f>Masks!B110</f>
        <v>-98.470325397914564</v>
      </c>
      <c r="F110" s="2">
        <f>Calculate[[#This Row],[Tx_PSD_us]]+Calculate[[#This Row],[IL]]</f>
        <v>-119.76271067037467</v>
      </c>
      <c r="G110" s="2">
        <f>Calculate[[#This Row],[Tx_PSD_ds]]+Calculate[[#This Row],[IL]]</f>
        <v>-119.76271067037467</v>
      </c>
      <c r="H110" s="2">
        <f>Masks[[#This Row],[channel_echo]]</f>
        <v>-10.634611254657829</v>
      </c>
      <c r="I110" s="2">
        <f>Masks[[#This Row],[channel_echo]]</f>
        <v>-10.634611254657829</v>
      </c>
      <c r="J110" s="2">
        <f>Calculate[[#This Row],[Echo_transfer_us]]+Calculate[[#This Row],[Tx_PSD_ds]]</f>
        <v>-109.10493665257239</v>
      </c>
      <c r="K110" s="2">
        <f>Calculate[[#This Row],[Echo_transfer_ds]]+Calculate[[#This Row],[Tx_PSD_us]]</f>
        <v>-109.10493665257239</v>
      </c>
      <c r="L110" s="2">
        <f t="shared" si="15"/>
        <v>-140</v>
      </c>
      <c r="M110" s="2">
        <f t="shared" si="16"/>
        <v>-140</v>
      </c>
      <c r="N110" s="2">
        <f t="shared" si="17"/>
        <v>5</v>
      </c>
      <c r="O110" s="2">
        <f t="shared" si="18"/>
        <v>5</v>
      </c>
      <c r="P110" s="2">
        <f>10*LOG10((10^(Calculate[[#This Row],[Rx_echo_us]]/10))-(10^((Masks[[#This Row],[connector_echo]]+Calculate[[#This Row],[Tx_PSD_ds]])/10))*EC_conector_ratio_us)-Calculate[[#This Row],[EC_cancelation_us]]</f>
        <v>-143.47032539790993</v>
      </c>
      <c r="Q110" s="2">
        <f>10*LOG10((10^(Calculate[[#This Row],[Rx_echo_ds]]/10))-(10^((Masks[[#This Row],[connector_echo]]+Calculate[[#This Row],[Tx_PSD_us]])/10))*EC_conector_ratio_ds)-Calculate[[#This Row],[EC_cancelation_ds]]</f>
        <v>-143.47032539790993</v>
      </c>
      <c r="R110" s="2">
        <f>10*LOG10(POWER(10,Calculate[[#This Row],[AFE_noise_us]]/10)+POWER(10,Calculate[[#This Row],[Echo_res_us]]/10))</f>
        <v>-138.38708034075518</v>
      </c>
      <c r="S110" s="2">
        <f>10*LOG10(POWER(10,Calculate[[#This Row],[AFE_noise_ds]]/10)+POWER(10,Calculate[[#This Row],[Echo_res_ds]]/10))</f>
        <v>-138.38708034075518</v>
      </c>
      <c r="T110" s="2">
        <f>Calculate[[#This Row],[Rx_PSD_us]]-Calculate[[#This Row],[Noise_us]]</f>
        <v>18.624369670380503</v>
      </c>
      <c r="U110" s="2">
        <f>Calculate[[#This Row],[Rx_PSD_ds]]-Calculate[[#This Row],[Noise_ds]]</f>
        <v>18.624369670380503</v>
      </c>
      <c r="V110" s="2">
        <f>POWER(10,Calculate[[#This Row],[SNRdB_us]]/10)</f>
        <v>72.851243144981453</v>
      </c>
      <c r="W110" s="2">
        <f>POWER(10,Calculate[[#This Row],[SNRdB_ds]]/10)</f>
        <v>72.851243144981453</v>
      </c>
      <c r="X110" s="2">
        <f>-(0.002*Calculate[[#This Row],[Freq]]/1000000/2.5+0.68*(Calculate[[#This Row],[Freq]]/1000000/2.5)^0.45)</f>
        <v>-24.540904730217107</v>
      </c>
    </row>
    <row r="111" spans="1:24" x14ac:dyDescent="0.25">
      <c r="A111" s="34">
        <f t="shared" si="19"/>
        <v>4950000000</v>
      </c>
      <c r="B111" s="1">
        <f>Calculate[[#This Row],[Freq]]-A110</f>
        <v>45000000</v>
      </c>
      <c r="C111">
        <f>Channels!B111*cable_length</f>
        <v>-21.412701885375736</v>
      </c>
      <c r="D111" s="2">
        <f>Masks!A111</f>
        <v>-98.470325397914564</v>
      </c>
      <c r="E111" s="2">
        <f>Masks!B111</f>
        <v>-98.470325397914564</v>
      </c>
      <c r="F111" s="2">
        <f>Calculate[[#This Row],[Tx_PSD_us]]+Calculate[[#This Row],[IL]]</f>
        <v>-119.8830272832903</v>
      </c>
      <c r="G111" s="2">
        <f>Calculate[[#This Row],[Tx_PSD_ds]]+Calculate[[#This Row],[IL]]</f>
        <v>-119.8830272832903</v>
      </c>
      <c r="H111" s="2">
        <f>Masks[[#This Row],[channel_echo]]</f>
        <v>-10.596329540143348</v>
      </c>
      <c r="I111" s="2">
        <f>Masks[[#This Row],[channel_echo]]</f>
        <v>-10.596329540143348</v>
      </c>
      <c r="J111" s="2">
        <f>Calculate[[#This Row],[Echo_transfer_us]]+Calculate[[#This Row],[Tx_PSD_ds]]</f>
        <v>-109.06665493805791</v>
      </c>
      <c r="K111" s="2">
        <f>Calculate[[#This Row],[Echo_transfer_ds]]+Calculate[[#This Row],[Tx_PSD_us]]</f>
        <v>-109.06665493805791</v>
      </c>
      <c r="L111" s="2">
        <f t="shared" si="15"/>
        <v>-140</v>
      </c>
      <c r="M111" s="2">
        <f t="shared" si="16"/>
        <v>-140</v>
      </c>
      <c r="N111" s="2">
        <f t="shared" si="17"/>
        <v>5</v>
      </c>
      <c r="O111" s="2">
        <f t="shared" si="18"/>
        <v>5</v>
      </c>
      <c r="P111" s="2">
        <f>10*LOG10((10^(Calculate[[#This Row],[Rx_echo_us]]/10))-(10^((Masks[[#This Row],[connector_echo]]+Calculate[[#This Row],[Tx_PSD_ds]])/10))*EC_conector_ratio_us)-Calculate[[#This Row],[EC_cancelation_us]]</f>
        <v>-143.47032539793261</v>
      </c>
      <c r="Q111" s="2">
        <f>10*LOG10((10^(Calculate[[#This Row],[Rx_echo_ds]]/10))-(10^((Masks[[#This Row],[connector_echo]]+Calculate[[#This Row],[Tx_PSD_us]])/10))*EC_conector_ratio_ds)-Calculate[[#This Row],[EC_cancelation_ds]]</f>
        <v>-143.47032539793261</v>
      </c>
      <c r="R111" s="2">
        <f>10*LOG10(POWER(10,Calculate[[#This Row],[AFE_noise_us]]/10)+POWER(10,Calculate[[#This Row],[Echo_res_us]]/10))</f>
        <v>-138.3870803407622</v>
      </c>
      <c r="S111" s="2">
        <f>10*LOG10(POWER(10,Calculate[[#This Row],[AFE_noise_ds]]/10)+POWER(10,Calculate[[#This Row],[Echo_res_ds]]/10))</f>
        <v>-138.3870803407622</v>
      </c>
      <c r="T111" s="2">
        <f>Calculate[[#This Row],[Rx_PSD_us]]-Calculate[[#This Row],[Noise_us]]</f>
        <v>18.504053057471893</v>
      </c>
      <c r="U111" s="2">
        <f>Calculate[[#This Row],[Rx_PSD_ds]]-Calculate[[#This Row],[Noise_ds]]</f>
        <v>18.504053057471893</v>
      </c>
      <c r="V111" s="2">
        <f>POWER(10,Calculate[[#This Row],[SNRdB_us]]/10)</f>
        <v>70.86067838664718</v>
      </c>
      <c r="W111" s="2">
        <f>POWER(10,Calculate[[#This Row],[SNRdB_ds]]/10)</f>
        <v>70.86067838664718</v>
      </c>
      <c r="X111" s="2">
        <f>-(0.002*Calculate[[#This Row],[Freq]]/1000000/2.5+0.68*(Calculate[[#This Row],[Freq]]/1000000/2.5)^0.45)</f>
        <v>-24.661806662571365</v>
      </c>
    </row>
    <row r="112" spans="1:24" x14ac:dyDescent="0.25">
      <c r="A112" s="34">
        <f t="shared" si="19"/>
        <v>4995000000</v>
      </c>
      <c r="B112" s="1">
        <f>Calculate[[#This Row],[Freq]]-A111</f>
        <v>45000000</v>
      </c>
      <c r="C112">
        <f>Channels!B112*cable_length</f>
        <v>-21.532679787550371</v>
      </c>
      <c r="D112" s="2">
        <f>Masks!A112</f>
        <v>-98.470325397914564</v>
      </c>
      <c r="E112" s="2">
        <f>Masks!B112</f>
        <v>-98.470325397914564</v>
      </c>
      <c r="F112" s="2">
        <f>Calculate[[#This Row],[Tx_PSD_us]]+Calculate[[#This Row],[IL]]</f>
        <v>-120.00300518546493</v>
      </c>
      <c r="G112" s="2">
        <f>Calculate[[#This Row],[Tx_PSD_ds]]+Calculate[[#This Row],[IL]]</f>
        <v>-120.00300518546493</v>
      </c>
      <c r="H112" s="2">
        <f>Masks[[#This Row],[channel_echo]]</f>
        <v>-10.558382320770532</v>
      </c>
      <c r="I112" s="2">
        <f>Masks[[#This Row],[channel_echo]]</f>
        <v>-10.558382320770532</v>
      </c>
      <c r="J112" s="2">
        <f>Calculate[[#This Row],[Echo_transfer_us]]+Calculate[[#This Row],[Tx_PSD_ds]]</f>
        <v>-109.0287077186851</v>
      </c>
      <c r="K112" s="2">
        <f>Calculate[[#This Row],[Echo_transfer_ds]]+Calculate[[#This Row],[Tx_PSD_us]]</f>
        <v>-109.0287077186851</v>
      </c>
      <c r="L112" s="2">
        <f t="shared" si="15"/>
        <v>-140</v>
      </c>
      <c r="M112" s="2">
        <f t="shared" si="16"/>
        <v>-140</v>
      </c>
      <c r="N112" s="2">
        <f t="shared" si="17"/>
        <v>5</v>
      </c>
      <c r="O112" s="2">
        <f t="shared" si="18"/>
        <v>5</v>
      </c>
      <c r="P112" s="2">
        <f>10*LOG10((10^(Calculate[[#This Row],[Rx_echo_us]]/10))-(10^((Masks[[#This Row],[connector_echo]]+Calculate[[#This Row],[Tx_PSD_ds]])/10))*EC_conector_ratio_us)-Calculate[[#This Row],[EC_cancelation_us]]</f>
        <v>-143.47032539793261</v>
      </c>
      <c r="Q112" s="2">
        <f>10*LOG10((10^(Calculate[[#This Row],[Rx_echo_ds]]/10))-(10^((Masks[[#This Row],[connector_echo]]+Calculate[[#This Row],[Tx_PSD_us]])/10))*EC_conector_ratio_ds)-Calculate[[#This Row],[EC_cancelation_ds]]</f>
        <v>-143.47032539793261</v>
      </c>
      <c r="R112" s="2">
        <f>10*LOG10(POWER(10,Calculate[[#This Row],[AFE_noise_us]]/10)+POWER(10,Calculate[[#This Row],[Echo_res_us]]/10))</f>
        <v>-138.3870803407622</v>
      </c>
      <c r="S112" s="2">
        <f>10*LOG10(POWER(10,Calculate[[#This Row],[AFE_noise_ds]]/10)+POWER(10,Calculate[[#This Row],[Echo_res_ds]]/10))</f>
        <v>-138.3870803407622</v>
      </c>
      <c r="T112" s="2">
        <f>Calculate[[#This Row],[Rx_PSD_us]]-Calculate[[#This Row],[Noise_us]]</f>
        <v>18.384075155297268</v>
      </c>
      <c r="U112" s="2">
        <f>Calculate[[#This Row],[Rx_PSD_ds]]-Calculate[[#This Row],[Noise_ds]]</f>
        <v>18.384075155297268</v>
      </c>
      <c r="V112" s="2">
        <f>POWER(10,Calculate[[#This Row],[SNRdB_us]]/10)</f>
        <v>68.929878904530909</v>
      </c>
      <c r="W112" s="2">
        <f>POWER(10,Calculate[[#This Row],[SNRdB_ds]]/10)</f>
        <v>68.929878904530909</v>
      </c>
      <c r="X112" s="2">
        <f>-(0.002*Calculate[[#This Row],[Freq]]/1000000/2.5+0.68*(Calculate[[#This Row],[Freq]]/1000000/2.5)^0.45)</f>
        <v>-24.782285137353071</v>
      </c>
    </row>
    <row r="113" spans="1:24" x14ac:dyDescent="0.25">
      <c r="A113" s="34">
        <f t="shared" si="19"/>
        <v>5040000000</v>
      </c>
      <c r="B113" s="1">
        <f>Calculate[[#This Row],[Freq]]-A112</f>
        <v>45000000</v>
      </c>
      <c r="C113">
        <f>Channels!B113*cable_length</f>
        <v>-21.652323545986516</v>
      </c>
      <c r="D113" s="2">
        <f>Masks!A113</f>
        <v>-98.470325397914564</v>
      </c>
      <c r="E113" s="2">
        <f>Masks!B113</f>
        <v>-98.470325397914564</v>
      </c>
      <c r="F113" s="2">
        <f>Calculate[[#This Row],[Tx_PSD_us]]+Calculate[[#This Row],[IL]]</f>
        <v>-120.12264894390108</v>
      </c>
      <c r="G113" s="2">
        <f>Calculate[[#This Row],[Tx_PSD_ds]]+Calculate[[#This Row],[IL]]</f>
        <v>-120.12264894390108</v>
      </c>
      <c r="H113" s="2">
        <f>Masks[[#This Row],[channel_echo]]</f>
        <v>-10.520763801682737</v>
      </c>
      <c r="I113" s="2">
        <f>Masks[[#This Row],[channel_echo]]</f>
        <v>-10.520763801682737</v>
      </c>
      <c r="J113" s="2">
        <f>Calculate[[#This Row],[Echo_transfer_us]]+Calculate[[#This Row],[Tx_PSD_ds]]</f>
        <v>-108.9910891995973</v>
      </c>
      <c r="K113" s="2">
        <f>Calculate[[#This Row],[Echo_transfer_ds]]+Calculate[[#This Row],[Tx_PSD_us]]</f>
        <v>-108.9910891995973</v>
      </c>
      <c r="L113" s="2">
        <f t="shared" si="15"/>
        <v>-140</v>
      </c>
      <c r="M113" s="2">
        <f t="shared" si="16"/>
        <v>-140</v>
      </c>
      <c r="N113" s="2">
        <f t="shared" si="17"/>
        <v>5</v>
      </c>
      <c r="O113" s="2">
        <f t="shared" si="18"/>
        <v>5</v>
      </c>
      <c r="P113" s="2">
        <f>10*LOG10((10^(Calculate[[#This Row],[Rx_echo_us]]/10))-(10^((Masks[[#This Row],[connector_echo]]+Calculate[[#This Row],[Tx_PSD_ds]])/10))*EC_conector_ratio_us)-Calculate[[#This Row],[EC_cancelation_us]]</f>
        <v>-143.47032539790894</v>
      </c>
      <c r="Q113" s="2">
        <f>10*LOG10((10^(Calculate[[#This Row],[Rx_echo_ds]]/10))-(10^((Masks[[#This Row],[connector_echo]]+Calculate[[#This Row],[Tx_PSD_us]])/10))*EC_conector_ratio_ds)-Calculate[[#This Row],[EC_cancelation_ds]]</f>
        <v>-143.47032539790894</v>
      </c>
      <c r="R113" s="2">
        <f>10*LOG10(POWER(10,Calculate[[#This Row],[AFE_noise_us]]/10)+POWER(10,Calculate[[#This Row],[Echo_res_us]]/10))</f>
        <v>-138.38708034075484</v>
      </c>
      <c r="S113" s="2">
        <f>10*LOG10(POWER(10,Calculate[[#This Row],[AFE_noise_ds]]/10)+POWER(10,Calculate[[#This Row],[Echo_res_ds]]/10))</f>
        <v>-138.38708034075484</v>
      </c>
      <c r="T113" s="2">
        <f>Calculate[[#This Row],[Rx_PSD_us]]-Calculate[[#This Row],[Noise_us]]</f>
        <v>18.264431396853752</v>
      </c>
      <c r="U113" s="2">
        <f>Calculate[[#This Row],[Rx_PSD_ds]]-Calculate[[#This Row],[Noise_ds]]</f>
        <v>18.264431396853752</v>
      </c>
      <c r="V113" s="2">
        <f>POWER(10,Calculate[[#This Row],[SNRdB_us]]/10)</f>
        <v>67.056848629766293</v>
      </c>
      <c r="W113" s="2">
        <f>POWER(10,Calculate[[#This Row],[SNRdB_ds]]/10)</f>
        <v>67.056848629766293</v>
      </c>
      <c r="X113" s="2">
        <f>-(0.002*Calculate[[#This Row],[Freq]]/1000000/2.5+0.68*(Calculate[[#This Row],[Freq]]/1000000/2.5)^0.45)</f>
        <v>-24.902346053242866</v>
      </c>
    </row>
    <row r="114" spans="1:24" x14ac:dyDescent="0.25">
      <c r="A114" s="34">
        <f t="shared" si="19"/>
        <v>5085000000</v>
      </c>
      <c r="B114" s="1">
        <f>Calculate[[#This Row],[Freq]]-A113</f>
        <v>45000000</v>
      </c>
      <c r="C114">
        <f>Channels!B114*cable_length</f>
        <v>-21.771637625968111</v>
      </c>
      <c r="D114" s="2">
        <f>Masks!A114</f>
        <v>-98.470325397914564</v>
      </c>
      <c r="E114" s="2">
        <f>Masks!B114</f>
        <v>-98.470325397914564</v>
      </c>
      <c r="F114" s="2">
        <f>Calculate[[#This Row],[Tx_PSD_us]]+Calculate[[#This Row],[IL]]</f>
        <v>-120.24196302388268</v>
      </c>
      <c r="G114" s="2">
        <f>Calculate[[#This Row],[Tx_PSD_ds]]+Calculate[[#This Row],[IL]]</f>
        <v>-120.24196302388268</v>
      </c>
      <c r="H114" s="2">
        <f>Masks[[#This Row],[channel_echo]]</f>
        <v>-10.483468337317836</v>
      </c>
      <c r="I114" s="2">
        <f>Masks[[#This Row],[channel_echo]]</f>
        <v>-10.483468337317836</v>
      </c>
      <c r="J114" s="2">
        <f>Calculate[[#This Row],[Echo_transfer_us]]+Calculate[[#This Row],[Tx_PSD_ds]]</f>
        <v>-108.9537937352324</v>
      </c>
      <c r="K114" s="2">
        <f>Calculate[[#This Row],[Echo_transfer_ds]]+Calculate[[#This Row],[Tx_PSD_us]]</f>
        <v>-108.9537937352324</v>
      </c>
      <c r="L114" s="2">
        <f t="shared" si="15"/>
        <v>-140</v>
      </c>
      <c r="M114" s="2">
        <f t="shared" si="16"/>
        <v>-140</v>
      </c>
      <c r="N114" s="2">
        <f t="shared" si="17"/>
        <v>5</v>
      </c>
      <c r="O114" s="2">
        <f t="shared" si="18"/>
        <v>5</v>
      </c>
      <c r="P114" s="2">
        <f>10*LOG10((10^(Calculate[[#This Row],[Rx_echo_us]]/10))-(10^((Masks[[#This Row],[connector_echo]]+Calculate[[#This Row],[Tx_PSD_ds]])/10))*EC_conector_ratio_us)-Calculate[[#This Row],[EC_cancelation_us]]</f>
        <v>-143.47032539789612</v>
      </c>
      <c r="Q114" s="2">
        <f>10*LOG10((10^(Calculate[[#This Row],[Rx_echo_ds]]/10))-(10^((Masks[[#This Row],[connector_echo]]+Calculate[[#This Row],[Tx_PSD_us]])/10))*EC_conector_ratio_ds)-Calculate[[#This Row],[EC_cancelation_ds]]</f>
        <v>-143.47032539789612</v>
      </c>
      <c r="R114" s="2">
        <f>10*LOG10(POWER(10,Calculate[[#This Row],[AFE_noise_us]]/10)+POWER(10,Calculate[[#This Row],[Echo_res_us]]/10))</f>
        <v>-138.38708034075086</v>
      </c>
      <c r="S114" s="2">
        <f>10*LOG10(POWER(10,Calculate[[#This Row],[AFE_noise_ds]]/10)+POWER(10,Calculate[[#This Row],[Echo_res_ds]]/10))</f>
        <v>-138.38708034075086</v>
      </c>
      <c r="T114" s="2">
        <f>Calculate[[#This Row],[Rx_PSD_us]]-Calculate[[#This Row],[Noise_us]]</f>
        <v>18.145117316868181</v>
      </c>
      <c r="U114" s="2">
        <f>Calculate[[#This Row],[Rx_PSD_ds]]-Calculate[[#This Row],[Noise_ds]]</f>
        <v>18.145117316868181</v>
      </c>
      <c r="V114" s="2">
        <f>POWER(10,Calculate[[#This Row],[SNRdB_us]]/10)</f>
        <v>65.239666408643259</v>
      </c>
      <c r="W114" s="2">
        <f>POWER(10,Calculate[[#This Row],[SNRdB_ds]]/10)</f>
        <v>65.239666408643259</v>
      </c>
      <c r="X114" s="2">
        <f>-(0.002*Calculate[[#This Row],[Freq]]/1000000/2.5+0.68*(Calculate[[#This Row],[Freq]]/1000000/2.5)^0.45)</f>
        <v>-25.021995174945388</v>
      </c>
    </row>
    <row r="115" spans="1:24" x14ac:dyDescent="0.25">
      <c r="A115" s="34">
        <f t="shared" si="19"/>
        <v>5130000000</v>
      </c>
      <c r="B115" s="1">
        <f>Calculate[[#This Row],[Freq]]-A114</f>
        <v>45000000</v>
      </c>
      <c r="C115">
        <f>Channels!B115*cable_length</f>
        <v>-21.890626394204336</v>
      </c>
      <c r="D115" s="2">
        <f>Masks!A115</f>
        <v>-98.470325397914564</v>
      </c>
      <c r="E115" s="2">
        <f>Masks!B115</f>
        <v>-98.470325397914564</v>
      </c>
      <c r="F115" s="2">
        <f>Calculate[[#This Row],[Tx_PSD_us]]+Calculate[[#This Row],[IL]]</f>
        <v>-120.3609517921189</v>
      </c>
      <c r="G115" s="2">
        <f>Calculate[[#This Row],[Tx_PSD_ds]]+Calculate[[#This Row],[IL]]</f>
        <v>-120.3609517921189</v>
      </c>
      <c r="H115" s="2">
        <f>Masks[[#This Row],[channel_echo]]</f>
        <v>-10.446490426323402</v>
      </c>
      <c r="I115" s="2">
        <f>Masks[[#This Row],[channel_echo]]</f>
        <v>-10.446490426323402</v>
      </c>
      <c r="J115" s="2">
        <f>Calculate[[#This Row],[Echo_transfer_us]]+Calculate[[#This Row],[Tx_PSD_ds]]</f>
        <v>-108.91681582423797</v>
      </c>
      <c r="K115" s="2">
        <f>Calculate[[#This Row],[Echo_transfer_ds]]+Calculate[[#This Row],[Tx_PSD_us]]</f>
        <v>-108.91681582423797</v>
      </c>
      <c r="L115" s="2">
        <f t="shared" si="15"/>
        <v>-140</v>
      </c>
      <c r="M115" s="2">
        <f t="shared" si="16"/>
        <v>-140</v>
      </c>
      <c r="N115" s="2">
        <f t="shared" si="17"/>
        <v>5</v>
      </c>
      <c r="O115" s="2">
        <f t="shared" si="18"/>
        <v>5</v>
      </c>
      <c r="P115" s="2">
        <f>10*LOG10((10^(Calculate[[#This Row],[Rx_echo_us]]/10))-(10^((Masks[[#This Row],[connector_echo]]+Calculate[[#This Row],[Tx_PSD_ds]])/10))*EC_conector_ratio_us)-Calculate[[#This Row],[EC_cancelation_us]]</f>
        <v>-143.47032539790402</v>
      </c>
      <c r="Q115" s="2">
        <f>10*LOG10((10^(Calculate[[#This Row],[Rx_echo_ds]]/10))-(10^((Masks[[#This Row],[connector_echo]]+Calculate[[#This Row],[Tx_PSD_us]])/10))*EC_conector_ratio_ds)-Calculate[[#This Row],[EC_cancelation_ds]]</f>
        <v>-143.47032539790402</v>
      </c>
      <c r="R115" s="2">
        <f>10*LOG10(POWER(10,Calculate[[#This Row],[AFE_noise_us]]/10)+POWER(10,Calculate[[#This Row],[Echo_res_us]]/10))</f>
        <v>-138.3870803407533</v>
      </c>
      <c r="S115" s="2">
        <f>10*LOG10(POWER(10,Calculate[[#This Row],[AFE_noise_ds]]/10)+POWER(10,Calculate[[#This Row],[Echo_res_ds]]/10))</f>
        <v>-138.3870803407533</v>
      </c>
      <c r="T115" s="2">
        <f>Calculate[[#This Row],[Rx_PSD_us]]-Calculate[[#This Row],[Noise_us]]</f>
        <v>18.026128548634404</v>
      </c>
      <c r="U115" s="2">
        <f>Calculate[[#This Row],[Rx_PSD_ds]]-Calculate[[#This Row],[Noise_ds]]</f>
        <v>18.026128548634404</v>
      </c>
      <c r="V115" s="2">
        <f>POWER(10,Calculate[[#This Row],[SNRdB_us]]/10)</f>
        <v>63.476482822343911</v>
      </c>
      <c r="W115" s="2">
        <f>POWER(10,Calculate[[#This Row],[SNRdB_ds]]/10)</f>
        <v>63.476482822343911</v>
      </c>
      <c r="X115" s="2">
        <f>-(0.002*Calculate[[#This Row],[Freq]]/1000000/2.5+0.68*(Calculate[[#This Row],[Freq]]/1000000/2.5)^0.45)</f>
        <v>-25.141238137388246</v>
      </c>
    </row>
    <row r="116" spans="1:24" x14ac:dyDescent="0.25">
      <c r="A116" s="34">
        <f t="shared" si="19"/>
        <v>5175000000</v>
      </c>
      <c r="B116" s="1">
        <f>Calculate[[#This Row],[Freq]]-A115</f>
        <v>45000000</v>
      </c>
      <c r="C116">
        <f>Channels!B116*cable_length</f>
        <v>-22.009294121849464</v>
      </c>
      <c r="D116" s="2">
        <f>Masks!A116</f>
        <v>-98.470325397914564</v>
      </c>
      <c r="E116" s="2">
        <f>Masks!B116</f>
        <v>-98.470325397914564</v>
      </c>
      <c r="F116" s="2">
        <f>Calculate[[#This Row],[Tx_PSD_us]]+Calculate[[#This Row],[IL]]</f>
        <v>-120.47961951976403</v>
      </c>
      <c r="G116" s="2">
        <f>Calculate[[#This Row],[Tx_PSD_ds]]+Calculate[[#This Row],[IL]]</f>
        <v>-120.47961951976403</v>
      </c>
      <c r="H116" s="2">
        <f>Masks[[#This Row],[channel_echo]]</f>
        <v>-10.409824706686596</v>
      </c>
      <c r="I116" s="2">
        <f>Masks[[#This Row],[channel_echo]]</f>
        <v>-10.409824706686596</v>
      </c>
      <c r="J116" s="2">
        <f>Calculate[[#This Row],[Echo_transfer_us]]+Calculate[[#This Row],[Tx_PSD_ds]]</f>
        <v>-108.88015010460116</v>
      </c>
      <c r="K116" s="2">
        <f>Calculate[[#This Row],[Echo_transfer_ds]]+Calculate[[#This Row],[Tx_PSD_us]]</f>
        <v>-108.88015010460116</v>
      </c>
      <c r="L116" s="2">
        <f t="shared" si="15"/>
        <v>-140</v>
      </c>
      <c r="M116" s="2">
        <f t="shared" si="16"/>
        <v>-140</v>
      </c>
      <c r="N116" s="2">
        <f t="shared" si="17"/>
        <v>5</v>
      </c>
      <c r="O116" s="2">
        <f t="shared" si="18"/>
        <v>5</v>
      </c>
      <c r="P116" s="2">
        <f>10*LOG10((10^(Calculate[[#This Row],[Rx_echo_us]]/10))-(10^((Masks[[#This Row],[connector_echo]]+Calculate[[#This Row],[Tx_PSD_ds]])/10))*EC_conector_ratio_us)-Calculate[[#This Row],[EC_cancelation_us]]</f>
        <v>-143.47032539792079</v>
      </c>
      <c r="Q116" s="2">
        <f>10*LOG10((10^(Calculate[[#This Row],[Rx_echo_ds]]/10))-(10^((Masks[[#This Row],[connector_echo]]+Calculate[[#This Row],[Tx_PSD_us]])/10))*EC_conector_ratio_ds)-Calculate[[#This Row],[EC_cancelation_ds]]</f>
        <v>-143.47032539792079</v>
      </c>
      <c r="R116" s="2">
        <f>10*LOG10(POWER(10,Calculate[[#This Row],[AFE_noise_us]]/10)+POWER(10,Calculate[[#This Row],[Echo_res_us]]/10))</f>
        <v>-138.38708034075853</v>
      </c>
      <c r="S116" s="2">
        <f>10*LOG10(POWER(10,Calculate[[#This Row],[AFE_noise_ds]]/10)+POWER(10,Calculate[[#This Row],[Echo_res_ds]]/10))</f>
        <v>-138.38708034075853</v>
      </c>
      <c r="T116" s="2">
        <f>Calculate[[#This Row],[Rx_PSD_us]]-Calculate[[#This Row],[Noise_us]]</f>
        <v>17.907460820994501</v>
      </c>
      <c r="U116" s="2">
        <f>Calculate[[#This Row],[Rx_PSD_ds]]-Calculate[[#This Row],[Noise_ds]]</f>
        <v>17.907460820994501</v>
      </c>
      <c r="V116" s="2">
        <f>POWER(10,Calculate[[#This Row],[SNRdB_us]]/10)</f>
        <v>61.765517159948573</v>
      </c>
      <c r="W116" s="2">
        <f>POWER(10,Calculate[[#This Row],[SNRdB_ds]]/10)</f>
        <v>61.765517159948573</v>
      </c>
      <c r="X116" s="2">
        <f>-(0.002*Calculate[[#This Row],[Freq]]/1000000/2.5+0.68*(Calculate[[#This Row],[Freq]]/1000000/2.5)^0.45)</f>
        <v>-25.260080449753744</v>
      </c>
    </row>
    <row r="117" spans="1:24" x14ac:dyDescent="0.25">
      <c r="A117" s="34">
        <f t="shared" si="19"/>
        <v>5220000000</v>
      </c>
      <c r="B117" s="1">
        <f>Calculate[[#This Row],[Freq]]-A116</f>
        <v>45000000</v>
      </c>
      <c r="C117">
        <f>Channels!B117*cable_length</f>
        <v>-22.127644987404953</v>
      </c>
      <c r="D117" s="2">
        <f>Masks!A117</f>
        <v>-98.470325397914564</v>
      </c>
      <c r="E117" s="2">
        <f>Masks!B117</f>
        <v>-98.470325397914564</v>
      </c>
      <c r="F117" s="2">
        <f>Calculate[[#This Row],[Tx_PSD_us]]+Calculate[[#This Row],[IL]]</f>
        <v>-120.59797038531951</v>
      </c>
      <c r="G117" s="2">
        <f>Calculate[[#This Row],[Tx_PSD_ds]]+Calculate[[#This Row],[IL]]</f>
        <v>-120.59797038531951</v>
      </c>
      <c r="H117" s="2">
        <f>Masks[[#This Row],[channel_echo]]</f>
        <v>-10.373465951067891</v>
      </c>
      <c r="I117" s="2">
        <f>Masks[[#This Row],[channel_echo]]</f>
        <v>-10.373465951067891</v>
      </c>
      <c r="J117" s="2">
        <f>Calculate[[#This Row],[Echo_transfer_us]]+Calculate[[#This Row],[Tx_PSD_ds]]</f>
        <v>-108.84379134898245</v>
      </c>
      <c r="K117" s="2">
        <f>Calculate[[#This Row],[Echo_transfer_ds]]+Calculate[[#This Row],[Tx_PSD_us]]</f>
        <v>-108.84379134898245</v>
      </c>
      <c r="L117" s="2">
        <f t="shared" si="15"/>
        <v>-140</v>
      </c>
      <c r="M117" s="2">
        <f t="shared" si="16"/>
        <v>-140</v>
      </c>
      <c r="N117" s="2">
        <f t="shared" si="17"/>
        <v>5</v>
      </c>
      <c r="O117" s="2">
        <f t="shared" si="18"/>
        <v>5</v>
      </c>
      <c r="P117" s="2">
        <f>10*LOG10((10^(Calculate[[#This Row],[Rx_echo_us]]/10))-(10^((Masks[[#This Row],[connector_echo]]+Calculate[[#This Row],[Tx_PSD_ds]])/10))*EC_conector_ratio_us)-Calculate[[#This Row],[EC_cancelation_us]]</f>
        <v>-143.47032539789413</v>
      </c>
      <c r="Q117" s="2">
        <f>10*LOG10((10^(Calculate[[#This Row],[Rx_echo_ds]]/10))-(10^((Masks[[#This Row],[connector_echo]]+Calculate[[#This Row],[Tx_PSD_us]])/10))*EC_conector_ratio_ds)-Calculate[[#This Row],[EC_cancelation_ds]]</f>
        <v>-143.47032539789413</v>
      </c>
      <c r="R117" s="2">
        <f>10*LOG10(POWER(10,Calculate[[#This Row],[AFE_noise_us]]/10)+POWER(10,Calculate[[#This Row],[Echo_res_us]]/10))</f>
        <v>-138.38708034075026</v>
      </c>
      <c r="S117" s="2">
        <f>10*LOG10(POWER(10,Calculate[[#This Row],[AFE_noise_ds]]/10)+POWER(10,Calculate[[#This Row],[Echo_res_ds]]/10))</f>
        <v>-138.38708034075026</v>
      </c>
      <c r="T117" s="2">
        <f>Calculate[[#This Row],[Rx_PSD_us]]-Calculate[[#This Row],[Noise_us]]</f>
        <v>17.789109955430746</v>
      </c>
      <c r="U117" s="2">
        <f>Calculate[[#This Row],[Rx_PSD_ds]]-Calculate[[#This Row],[Noise_ds]]</f>
        <v>17.789109955430746</v>
      </c>
      <c r="V117" s="2">
        <f>POWER(10,Calculate[[#This Row],[SNRdB_us]]/10)</f>
        <v>60.105054535963745</v>
      </c>
      <c r="W117" s="2">
        <f>POWER(10,Calculate[[#This Row],[SNRdB_ds]]/10)</f>
        <v>60.105054535963745</v>
      </c>
      <c r="X117" s="2">
        <f>-(0.002*Calculate[[#This Row],[Freq]]/1000000/2.5+0.68*(Calculate[[#This Row],[Freq]]/1000000/2.5)^0.45)</f>
        <v>-25.378527499351527</v>
      </c>
    </row>
    <row r="118" spans="1:24" x14ac:dyDescent="0.25">
      <c r="A118" s="34">
        <f t="shared" si="19"/>
        <v>5265000000</v>
      </c>
      <c r="B118" s="1">
        <f>Calculate[[#This Row],[Freq]]-A117</f>
        <v>45000000</v>
      </c>
      <c r="C118">
        <f>Channels!B118*cable_length</f>
        <v>-22.24568307950905</v>
      </c>
      <c r="D118" s="2">
        <f>Masks!A118</f>
        <v>-98.470325397914564</v>
      </c>
      <c r="E118" s="2">
        <f>Masks!B118</f>
        <v>-98.470325397914564</v>
      </c>
      <c r="F118" s="2">
        <f>Calculate[[#This Row],[Tx_PSD_us]]+Calculate[[#This Row],[IL]]</f>
        <v>-120.71600847742361</v>
      </c>
      <c r="G118" s="2">
        <f>Calculate[[#This Row],[Tx_PSD_ds]]+Calculate[[#This Row],[IL]]</f>
        <v>-120.71600847742361</v>
      </c>
      <c r="H118" s="2">
        <f>Masks[[#This Row],[channel_echo]]</f>
        <v>-10.337409062328508</v>
      </c>
      <c r="I118" s="2">
        <f>Masks[[#This Row],[channel_echo]]</f>
        <v>-10.337409062328508</v>
      </c>
      <c r="J118" s="2">
        <f>Calculate[[#This Row],[Echo_transfer_us]]+Calculate[[#This Row],[Tx_PSD_ds]]</f>
        <v>-108.80773446024307</v>
      </c>
      <c r="K118" s="2">
        <f>Calculate[[#This Row],[Echo_transfer_ds]]+Calculate[[#This Row],[Tx_PSD_us]]</f>
        <v>-108.80773446024307</v>
      </c>
      <c r="L118" s="2">
        <f t="shared" si="15"/>
        <v>-140</v>
      </c>
      <c r="M118" s="2">
        <f t="shared" si="16"/>
        <v>-140</v>
      </c>
      <c r="N118" s="2">
        <f t="shared" si="17"/>
        <v>5</v>
      </c>
      <c r="O118" s="2">
        <f t="shared" si="18"/>
        <v>5</v>
      </c>
      <c r="P118" s="2">
        <f>10*LOG10((10^(Calculate[[#This Row],[Rx_echo_us]]/10))-(10^((Masks[[#This Row],[connector_echo]]+Calculate[[#This Row],[Tx_PSD_ds]])/10))*EC_conector_ratio_us)-Calculate[[#This Row],[EC_cancelation_us]]</f>
        <v>-143.47032539790499</v>
      </c>
      <c r="Q118" s="2">
        <f>10*LOG10((10^(Calculate[[#This Row],[Rx_echo_ds]]/10))-(10^((Masks[[#This Row],[connector_echo]]+Calculate[[#This Row],[Tx_PSD_us]])/10))*EC_conector_ratio_ds)-Calculate[[#This Row],[EC_cancelation_ds]]</f>
        <v>-143.47032539790499</v>
      </c>
      <c r="R118" s="2">
        <f>10*LOG10(POWER(10,Calculate[[#This Row],[AFE_noise_us]]/10)+POWER(10,Calculate[[#This Row],[Echo_res_us]]/10))</f>
        <v>-138.38708034075361</v>
      </c>
      <c r="S118" s="2">
        <f>10*LOG10(POWER(10,Calculate[[#This Row],[AFE_noise_ds]]/10)+POWER(10,Calculate[[#This Row],[Echo_res_ds]]/10))</f>
        <v>-138.38708034075361</v>
      </c>
      <c r="T118" s="2">
        <f>Calculate[[#This Row],[Rx_PSD_us]]-Calculate[[#This Row],[Noise_us]]</f>
        <v>17.671071863329999</v>
      </c>
      <c r="U118" s="2">
        <f>Calculate[[#This Row],[Rx_PSD_ds]]-Calculate[[#This Row],[Noise_ds]]</f>
        <v>17.671071863329999</v>
      </c>
      <c r="V118" s="2">
        <f>POWER(10,Calculate[[#This Row],[SNRdB_us]]/10)</f>
        <v>58.493443145492954</v>
      </c>
      <c r="W118" s="2">
        <f>POWER(10,Calculate[[#This Row],[SNRdB_ds]]/10)</f>
        <v>58.493443145492954</v>
      </c>
      <c r="X118" s="2">
        <f>-(0.002*Calculate[[#This Row],[Freq]]/1000000/2.5+0.68*(Calculate[[#This Row],[Freq]]/1000000/2.5)^0.45)</f>
        <v>-25.496584555339606</v>
      </c>
    </row>
    <row r="119" spans="1:24" x14ac:dyDescent="0.25">
      <c r="A119" s="34">
        <f t="shared" si="19"/>
        <v>5310000000</v>
      </c>
      <c r="B119" s="1">
        <f>Calculate[[#This Row],[Freq]]-A118</f>
        <v>45000000</v>
      </c>
      <c r="C119">
        <f>Channels!B119*cable_length</f>
        <v>-22.363412399619431</v>
      </c>
      <c r="D119" s="2">
        <f>Masks!A119</f>
        <v>-98.470325397914564</v>
      </c>
      <c r="E119" s="2">
        <f>Masks!B119</f>
        <v>-98.470325397914564</v>
      </c>
      <c r="F119" s="2">
        <f>Calculate[[#This Row],[Tx_PSD_us]]+Calculate[[#This Row],[IL]]</f>
        <v>-120.833737797534</v>
      </c>
      <c r="G119" s="2">
        <f>Calculate[[#This Row],[Tx_PSD_ds]]+Calculate[[#This Row],[IL]]</f>
        <v>-120.833737797534</v>
      </c>
      <c r="H119" s="2">
        <f>Masks[[#This Row],[channel_echo]]</f>
        <v>-10.301649069242025</v>
      </c>
      <c r="I119" s="2">
        <f>Masks[[#This Row],[channel_echo]]</f>
        <v>-10.301649069242025</v>
      </c>
      <c r="J119" s="2">
        <f>Calculate[[#This Row],[Echo_transfer_us]]+Calculate[[#This Row],[Tx_PSD_ds]]</f>
        <v>-108.77197446715658</v>
      </c>
      <c r="K119" s="2">
        <f>Calculate[[#This Row],[Echo_transfer_ds]]+Calculate[[#This Row],[Tx_PSD_us]]</f>
        <v>-108.77197446715658</v>
      </c>
      <c r="L119" s="2">
        <f t="shared" si="15"/>
        <v>-140</v>
      </c>
      <c r="M119" s="2">
        <f t="shared" si="16"/>
        <v>-140</v>
      </c>
      <c r="N119" s="2">
        <f t="shared" si="17"/>
        <v>5</v>
      </c>
      <c r="O119" s="2">
        <f t="shared" si="18"/>
        <v>5</v>
      </c>
      <c r="P119" s="2">
        <f>10*LOG10((10^(Calculate[[#This Row],[Rx_echo_us]]/10))-(10^((Masks[[#This Row],[connector_echo]]+Calculate[[#This Row],[Tx_PSD_ds]])/10))*EC_conector_ratio_us)-Calculate[[#This Row],[EC_cancelation_us]]</f>
        <v>-143.47032539790402</v>
      </c>
      <c r="Q119" s="2">
        <f>10*LOG10((10^(Calculate[[#This Row],[Rx_echo_ds]]/10))-(10^((Masks[[#This Row],[connector_echo]]+Calculate[[#This Row],[Tx_PSD_us]])/10))*EC_conector_ratio_ds)-Calculate[[#This Row],[EC_cancelation_ds]]</f>
        <v>-143.47032539790402</v>
      </c>
      <c r="R119" s="2">
        <f>10*LOG10(POWER(10,Calculate[[#This Row],[AFE_noise_us]]/10)+POWER(10,Calculate[[#This Row],[Echo_res_us]]/10))</f>
        <v>-138.3870803407533</v>
      </c>
      <c r="S119" s="2">
        <f>10*LOG10(POWER(10,Calculate[[#This Row],[AFE_noise_ds]]/10)+POWER(10,Calculate[[#This Row],[Echo_res_ds]]/10))</f>
        <v>-138.3870803407533</v>
      </c>
      <c r="T119" s="2">
        <f>Calculate[[#This Row],[Rx_PSD_us]]-Calculate[[#This Row],[Noise_us]]</f>
        <v>17.553342543219301</v>
      </c>
      <c r="U119" s="2">
        <f>Calculate[[#This Row],[Rx_PSD_ds]]-Calculate[[#This Row],[Noise_ds]]</f>
        <v>17.553342543219301</v>
      </c>
      <c r="V119" s="2">
        <f>POWER(10,Calculate[[#This Row],[SNRdB_us]]/10)</f>
        <v>56.929091646997293</v>
      </c>
      <c r="W119" s="2">
        <f>POWER(10,Calculate[[#This Row],[SNRdB_ds]]/10)</f>
        <v>56.929091646997293</v>
      </c>
      <c r="X119" s="2">
        <f>-(0.002*Calculate[[#This Row],[Freq]]/1000000/2.5+0.68*(Calculate[[#This Row],[Freq]]/1000000/2.5)^0.45)</f>
        <v>-25.614256772301047</v>
      </c>
    </row>
    <row r="120" spans="1:24" x14ac:dyDescent="0.25">
      <c r="A120" s="34">
        <f t="shared" si="19"/>
        <v>5355000000</v>
      </c>
      <c r="B120" s="1">
        <f>Calculate[[#This Row],[Freq]]-A119</f>
        <v>45000000</v>
      </c>
      <c r="C120">
        <f>Channels!B120*cable_length</f>
        <v>-22.480836864593659</v>
      </c>
      <c r="D120" s="2">
        <f>Masks!A120</f>
        <v>-98.470325397914564</v>
      </c>
      <c r="E120" s="2">
        <f>Masks!B120</f>
        <v>-98.470325397914564</v>
      </c>
      <c r="F120" s="2">
        <f>Calculate[[#This Row],[Tx_PSD_us]]+Calculate[[#This Row],[IL]]</f>
        <v>-120.95116226250822</v>
      </c>
      <c r="G120" s="2">
        <f>Calculate[[#This Row],[Tx_PSD_ds]]+Calculate[[#This Row],[IL]]</f>
        <v>-120.95116226250822</v>
      </c>
      <c r="H120" s="2">
        <f>Masks[[#This Row],[channel_echo]]</f>
        <v>-10.266181122381074</v>
      </c>
      <c r="I120" s="2">
        <f>Masks[[#This Row],[channel_echo]]</f>
        <v>-10.266181122381074</v>
      </c>
      <c r="J120" s="2">
        <f>Calculate[[#This Row],[Echo_transfer_us]]+Calculate[[#This Row],[Tx_PSD_ds]]</f>
        <v>-108.73650652029563</v>
      </c>
      <c r="K120" s="2">
        <f>Calculate[[#This Row],[Echo_transfer_ds]]+Calculate[[#This Row],[Tx_PSD_us]]</f>
        <v>-108.73650652029563</v>
      </c>
      <c r="L120" s="2">
        <f t="shared" si="15"/>
        <v>-140</v>
      </c>
      <c r="M120" s="2">
        <f t="shared" si="16"/>
        <v>-140</v>
      </c>
      <c r="N120" s="2">
        <f t="shared" si="17"/>
        <v>5</v>
      </c>
      <c r="O120" s="2">
        <f t="shared" si="18"/>
        <v>5</v>
      </c>
      <c r="P120" s="2">
        <f>10*LOG10((10^(Calculate[[#This Row],[Rx_echo_us]]/10))-(10^((Masks[[#This Row],[connector_echo]]+Calculate[[#This Row],[Tx_PSD_ds]])/10))*EC_conector_ratio_us)-Calculate[[#This Row],[EC_cancelation_us]]</f>
        <v>-143.47032539792423</v>
      </c>
      <c r="Q120" s="2">
        <f>10*LOG10((10^(Calculate[[#This Row],[Rx_echo_ds]]/10))-(10^((Masks[[#This Row],[connector_echo]]+Calculate[[#This Row],[Tx_PSD_us]])/10))*EC_conector_ratio_ds)-Calculate[[#This Row],[EC_cancelation_ds]]</f>
        <v>-143.47032539792423</v>
      </c>
      <c r="R120" s="2">
        <f>10*LOG10(POWER(10,Calculate[[#This Row],[AFE_noise_us]]/10)+POWER(10,Calculate[[#This Row],[Echo_res_us]]/10))</f>
        <v>-138.38708034075958</v>
      </c>
      <c r="S120" s="2">
        <f>10*LOG10(POWER(10,Calculate[[#This Row],[AFE_noise_ds]]/10)+POWER(10,Calculate[[#This Row],[Echo_res_ds]]/10))</f>
        <v>-138.38708034075958</v>
      </c>
      <c r="T120" s="2">
        <f>Calculate[[#This Row],[Rx_PSD_us]]-Calculate[[#This Row],[Noise_us]]</f>
        <v>17.435918078251362</v>
      </c>
      <c r="U120" s="2">
        <f>Calculate[[#This Row],[Rx_PSD_ds]]-Calculate[[#This Row],[Noise_ds]]</f>
        <v>17.435918078251362</v>
      </c>
      <c r="V120" s="2">
        <f>POWER(10,Calculate[[#This Row],[SNRdB_us]]/10)</f>
        <v>55.410466669719362</v>
      </c>
      <c r="W120" s="2">
        <f>POWER(10,Calculate[[#This Row],[SNRdB_ds]]/10)</f>
        <v>55.410466669719362</v>
      </c>
      <c r="X120" s="2">
        <f>-(0.002*Calculate[[#This Row],[Freq]]/1000000/2.5+0.68*(Calculate[[#This Row],[Freq]]/1000000/2.5)^0.45)</f>
        <v>-25.73154919368303</v>
      </c>
    </row>
    <row r="121" spans="1:24" x14ac:dyDescent="0.25">
      <c r="A121" s="34">
        <f t="shared" si="19"/>
        <v>5400000000</v>
      </c>
      <c r="B121" s="1">
        <f>Calculate[[#This Row],[Freq]]-A120</f>
        <v>45000000</v>
      </c>
      <c r="C121">
        <f>Channels!B121*cable_length</f>
        <v>-22.597960309172343</v>
      </c>
      <c r="D121" s="2">
        <f>Masks!A121</f>
        <v>-98.470325397914564</v>
      </c>
      <c r="E121" s="2">
        <f>Masks!B121</f>
        <v>-98.470325397914564</v>
      </c>
      <c r="F121" s="2">
        <f>Calculate[[#This Row],[Tx_PSD_us]]+Calculate[[#This Row],[IL]]</f>
        <v>-121.06828570708691</v>
      </c>
      <c r="G121" s="2">
        <f>Calculate[[#This Row],[Tx_PSD_ds]]+Calculate[[#This Row],[IL]]</f>
        <v>-121.06828570708691</v>
      </c>
      <c r="H121" s="2">
        <f>Masks[[#This Row],[channel_echo]]</f>
        <v>-10.23100049017062</v>
      </c>
      <c r="I121" s="2">
        <f>Masks[[#This Row],[channel_echo]]</f>
        <v>-10.23100049017062</v>
      </c>
      <c r="J121" s="2">
        <f>Calculate[[#This Row],[Echo_transfer_us]]+Calculate[[#This Row],[Tx_PSD_ds]]</f>
        <v>-108.70132588808518</v>
      </c>
      <c r="K121" s="2">
        <f>Calculate[[#This Row],[Echo_transfer_ds]]+Calculate[[#This Row],[Tx_PSD_us]]</f>
        <v>-108.70132588808518</v>
      </c>
      <c r="L121" s="2">
        <f t="shared" si="15"/>
        <v>-140</v>
      </c>
      <c r="M121" s="2">
        <f t="shared" si="16"/>
        <v>-140</v>
      </c>
      <c r="N121" s="2">
        <f t="shared" si="17"/>
        <v>5</v>
      </c>
      <c r="O121" s="2">
        <f t="shared" si="18"/>
        <v>5</v>
      </c>
      <c r="P121" s="2">
        <f>10*LOG10((10^(Calculate[[#This Row],[Rx_echo_us]]/10))-(10^((Masks[[#This Row],[connector_echo]]+Calculate[[#This Row],[Tx_PSD_ds]])/10))*EC_conector_ratio_us)-Calculate[[#This Row],[EC_cancelation_us]]</f>
        <v>-143.47032539791289</v>
      </c>
      <c r="Q121" s="2">
        <f>10*LOG10((10^(Calculate[[#This Row],[Rx_echo_ds]]/10))-(10^((Masks[[#This Row],[connector_echo]]+Calculate[[#This Row],[Tx_PSD_us]])/10))*EC_conector_ratio_ds)-Calculate[[#This Row],[EC_cancelation_ds]]</f>
        <v>-143.47032539791289</v>
      </c>
      <c r="R121" s="2">
        <f>10*LOG10(POWER(10,Calculate[[#This Row],[AFE_noise_us]]/10)+POWER(10,Calculate[[#This Row],[Echo_res_us]]/10))</f>
        <v>-138.38708034075606</v>
      </c>
      <c r="S121" s="2">
        <f>10*LOG10(POWER(10,Calculate[[#This Row],[AFE_noise_ds]]/10)+POWER(10,Calculate[[#This Row],[Echo_res_ds]]/10))</f>
        <v>-138.38708034075606</v>
      </c>
      <c r="T121" s="2">
        <f>Calculate[[#This Row],[Rx_PSD_us]]-Calculate[[#This Row],[Noise_us]]</f>
        <v>17.318794633669143</v>
      </c>
      <c r="U121" s="2">
        <f>Calculate[[#This Row],[Rx_PSD_ds]]-Calculate[[#This Row],[Noise_ds]]</f>
        <v>17.318794633669143</v>
      </c>
      <c r="V121" s="2">
        <f>POWER(10,Calculate[[#This Row],[SNRdB_us]]/10)</f>
        <v>53.936090435617693</v>
      </c>
      <c r="W121" s="2">
        <f>POWER(10,Calculate[[#This Row],[SNRdB_ds]]/10)</f>
        <v>53.936090435617693</v>
      </c>
      <c r="X121" s="2">
        <f>-(0.002*Calculate[[#This Row],[Freq]]/1000000/2.5+0.68*(Calculate[[#This Row],[Freq]]/1000000/2.5)^0.45)</f>
        <v>-25.848466755104795</v>
      </c>
    </row>
    <row r="122" spans="1:24" x14ac:dyDescent="0.25">
      <c r="A122" s="34">
        <f t="shared" si="19"/>
        <v>5445000000</v>
      </c>
      <c r="B122" s="1">
        <f>Calculate[[#This Row],[Freq]]-A121</f>
        <v>45000000</v>
      </c>
      <c r="C122">
        <f>Channels!B122*cable_length</f>
        <v>-22.714786488369324</v>
      </c>
      <c r="D122" s="2">
        <f>Masks!A122</f>
        <v>-98.470325397914564</v>
      </c>
      <c r="E122" s="2">
        <f>Masks!B122</f>
        <v>-98.470325397914564</v>
      </c>
      <c r="F122" s="2">
        <f>Calculate[[#This Row],[Tx_PSD_us]]+Calculate[[#This Row],[IL]]</f>
        <v>-121.18511188628389</v>
      </c>
      <c r="G122" s="2">
        <f>Calculate[[#This Row],[Tx_PSD_ds]]+Calculate[[#This Row],[IL]]</f>
        <v>-121.18511188628389</v>
      </c>
      <c r="H122" s="2">
        <f>Masks[[#This Row],[channel_echo]]</f>
        <v>-10.196102555099911</v>
      </c>
      <c r="I122" s="2">
        <f>Masks[[#This Row],[channel_echo]]</f>
        <v>-10.196102555099911</v>
      </c>
      <c r="J122" s="2">
        <f>Calculate[[#This Row],[Echo_transfer_us]]+Calculate[[#This Row],[Tx_PSD_ds]]</f>
        <v>-108.66642795301448</v>
      </c>
      <c r="K122" s="2">
        <f>Calculate[[#This Row],[Echo_transfer_ds]]+Calculate[[#This Row],[Tx_PSD_us]]</f>
        <v>-108.66642795301448</v>
      </c>
      <c r="L122" s="2">
        <f t="shared" si="15"/>
        <v>-140</v>
      </c>
      <c r="M122" s="2">
        <f t="shared" si="16"/>
        <v>-140</v>
      </c>
      <c r="N122" s="2">
        <f t="shared" si="17"/>
        <v>5</v>
      </c>
      <c r="O122" s="2">
        <f t="shared" si="18"/>
        <v>5</v>
      </c>
      <c r="P122" s="2">
        <f>10*LOG10((10^(Calculate[[#This Row],[Rx_echo_us]]/10))-(10^((Masks[[#This Row],[connector_echo]]+Calculate[[#This Row],[Tx_PSD_ds]])/10))*EC_conector_ratio_us)-Calculate[[#This Row],[EC_cancelation_us]]</f>
        <v>-143.47032539790646</v>
      </c>
      <c r="Q122" s="2">
        <f>10*LOG10((10^(Calculate[[#This Row],[Rx_echo_ds]]/10))-(10^((Masks[[#This Row],[connector_echo]]+Calculate[[#This Row],[Tx_PSD_us]])/10))*EC_conector_ratio_ds)-Calculate[[#This Row],[EC_cancelation_ds]]</f>
        <v>-143.47032539790646</v>
      </c>
      <c r="R122" s="2">
        <f>10*LOG10(POWER(10,Calculate[[#This Row],[AFE_noise_us]]/10)+POWER(10,Calculate[[#This Row],[Echo_res_us]]/10))</f>
        <v>-138.38708034075407</v>
      </c>
      <c r="S122" s="2">
        <f>10*LOG10(POWER(10,Calculate[[#This Row],[AFE_noise_ds]]/10)+POWER(10,Calculate[[#This Row],[Echo_res_ds]]/10))</f>
        <v>-138.38708034075407</v>
      </c>
      <c r="T122" s="2">
        <f>Calculate[[#This Row],[Rx_PSD_us]]-Calculate[[#This Row],[Noise_us]]</f>
        <v>17.201968454470176</v>
      </c>
      <c r="U122" s="2">
        <f>Calculate[[#This Row],[Rx_PSD_ds]]-Calculate[[#This Row],[Noise_ds]]</f>
        <v>17.201968454470176</v>
      </c>
      <c r="V122" s="2">
        <f>POWER(10,Calculate[[#This Row],[SNRdB_us]]/10)</f>
        <v>52.504538492724961</v>
      </c>
      <c r="W122" s="2">
        <f>POWER(10,Calculate[[#This Row],[SNRdB_ds]]/10)</f>
        <v>52.504538492724961</v>
      </c>
      <c r="X122" s="2">
        <f>-(0.002*Calculate[[#This Row],[Freq]]/1000000/2.5+0.68*(Calculate[[#This Row],[Freq]]/1000000/2.5)^0.45)</f>
        <v>-25.965014287540313</v>
      </c>
    </row>
    <row r="123" spans="1:24" x14ac:dyDescent="0.25">
      <c r="A123" s="34">
        <f t="shared" si="19"/>
        <v>5490000000</v>
      </c>
      <c r="B123" s="1">
        <f>Calculate[[#This Row],[Freq]]-A122</f>
        <v>45000000</v>
      </c>
      <c r="C123">
        <f>Channels!B123*cable_length</f>
        <v>-22.831319079773127</v>
      </c>
      <c r="D123" s="2">
        <f>Masks!A123</f>
        <v>-98.470325397914564</v>
      </c>
      <c r="E123" s="2">
        <f>Masks!B123</f>
        <v>-98.470325397914564</v>
      </c>
      <c r="F123" s="2">
        <f>Calculate[[#This Row],[Tx_PSD_us]]+Calculate[[#This Row],[IL]]</f>
        <v>-121.30164447768769</v>
      </c>
      <c r="G123" s="2">
        <f>Calculate[[#This Row],[Tx_PSD_ds]]+Calculate[[#This Row],[IL]]</f>
        <v>-121.30164447768769</v>
      </c>
      <c r="H123" s="2">
        <f>Masks[[#This Row],[channel_echo]]</f>
        <v>-10.161482810085282</v>
      </c>
      <c r="I123" s="2">
        <f>Masks[[#This Row],[channel_echo]]</f>
        <v>-10.161482810085282</v>
      </c>
      <c r="J123" s="2">
        <f>Calculate[[#This Row],[Echo_transfer_us]]+Calculate[[#This Row],[Tx_PSD_ds]]</f>
        <v>-108.63180820799985</v>
      </c>
      <c r="K123" s="2">
        <f>Calculate[[#This Row],[Echo_transfer_ds]]+Calculate[[#This Row],[Tx_PSD_us]]</f>
        <v>-108.63180820799985</v>
      </c>
      <c r="L123" s="2">
        <f t="shared" si="15"/>
        <v>-140</v>
      </c>
      <c r="M123" s="2">
        <f t="shared" si="16"/>
        <v>-140</v>
      </c>
      <c r="N123" s="2">
        <f t="shared" si="17"/>
        <v>5</v>
      </c>
      <c r="O123" s="2">
        <f t="shared" si="18"/>
        <v>5</v>
      </c>
      <c r="P123" s="2">
        <f>10*LOG10((10^(Calculate[[#This Row],[Rx_echo_us]]/10))-(10^((Masks[[#This Row],[connector_echo]]+Calculate[[#This Row],[Tx_PSD_ds]])/10))*EC_conector_ratio_us)-Calculate[[#This Row],[EC_cancelation_us]]</f>
        <v>-143.47032539793165</v>
      </c>
      <c r="Q123" s="2">
        <f>10*LOG10((10^(Calculate[[#This Row],[Rx_echo_ds]]/10))-(10^((Masks[[#This Row],[connector_echo]]+Calculate[[#This Row],[Tx_PSD_us]])/10))*EC_conector_ratio_ds)-Calculate[[#This Row],[EC_cancelation_ds]]</f>
        <v>-143.47032539793165</v>
      </c>
      <c r="R123" s="2">
        <f>10*LOG10(POWER(10,Calculate[[#This Row],[AFE_noise_us]]/10)+POWER(10,Calculate[[#This Row],[Echo_res_us]]/10))</f>
        <v>-138.38708034076188</v>
      </c>
      <c r="S123" s="2">
        <f>10*LOG10(POWER(10,Calculate[[#This Row],[AFE_noise_ds]]/10)+POWER(10,Calculate[[#This Row],[Echo_res_ds]]/10))</f>
        <v>-138.38708034076188</v>
      </c>
      <c r="T123" s="2">
        <f>Calculate[[#This Row],[Rx_PSD_us]]-Calculate[[#This Row],[Noise_us]]</f>
        <v>17.085435863074196</v>
      </c>
      <c r="U123" s="2">
        <f>Calculate[[#This Row],[Rx_PSD_ds]]-Calculate[[#This Row],[Noise_ds]]</f>
        <v>17.085435863074196</v>
      </c>
      <c r="V123" s="2">
        <f>POWER(10,Calculate[[#This Row],[SNRdB_us]]/10)</f>
        <v>51.114437551681824</v>
      </c>
      <c r="W123" s="2">
        <f>POWER(10,Calculate[[#This Row],[SNRdB_ds]]/10)</f>
        <v>51.114437551681824</v>
      </c>
      <c r="X123" s="2">
        <f>-(0.002*Calculate[[#This Row],[Freq]]/1000000/2.5+0.68*(Calculate[[#This Row],[Freq]]/1000000/2.5)^0.45)</f>
        <v>-26.081196520381649</v>
      </c>
    </row>
    <row r="124" spans="1:24" x14ac:dyDescent="0.25">
      <c r="A124" s="34">
        <f t="shared" si="19"/>
        <v>5535000000</v>
      </c>
      <c r="B124" s="1">
        <f>Calculate[[#This Row],[Freq]]-A123</f>
        <v>45000000</v>
      </c>
      <c r="C124">
        <f>Channels!B124*cable_length</f>
        <v>-22.94756168576377</v>
      </c>
      <c r="D124" s="2">
        <f>Masks!A124</f>
        <v>-98.470325397914564</v>
      </c>
      <c r="E124" s="2">
        <f>Masks!B124</f>
        <v>-98.470325397914564</v>
      </c>
      <c r="F124" s="2">
        <f>Calculate[[#This Row],[Tx_PSD_us]]+Calculate[[#This Row],[IL]]</f>
        <v>-121.41788708367834</v>
      </c>
      <c r="G124" s="2">
        <f>Calculate[[#This Row],[Tx_PSD_ds]]+Calculate[[#This Row],[IL]]</f>
        <v>-121.41788708367834</v>
      </c>
      <c r="H124" s="2">
        <f>Masks[[#This Row],[channel_echo]]</f>
        <v>-10.1271368549769</v>
      </c>
      <c r="I124" s="2">
        <f>Masks[[#This Row],[channel_echo]]</f>
        <v>-10.1271368549769</v>
      </c>
      <c r="J124" s="2">
        <f>Calculate[[#This Row],[Echo_transfer_us]]+Calculate[[#This Row],[Tx_PSD_ds]]</f>
        <v>-108.59746225289146</v>
      </c>
      <c r="K124" s="2">
        <f>Calculate[[#This Row],[Echo_transfer_ds]]+Calculate[[#This Row],[Tx_PSD_us]]</f>
        <v>-108.59746225289146</v>
      </c>
      <c r="L124" s="2">
        <f t="shared" si="15"/>
        <v>-140</v>
      </c>
      <c r="M124" s="2">
        <f t="shared" si="16"/>
        <v>-140</v>
      </c>
      <c r="N124" s="2">
        <f t="shared" si="17"/>
        <v>5</v>
      </c>
      <c r="O124" s="2">
        <f t="shared" si="18"/>
        <v>5</v>
      </c>
      <c r="P124" s="2">
        <f>10*LOG10((10^(Calculate[[#This Row],[Rx_echo_us]]/10))-(10^((Masks[[#This Row],[connector_echo]]+Calculate[[#This Row],[Tx_PSD_ds]])/10))*EC_conector_ratio_us)-Calculate[[#This Row],[EC_cancelation_us]]</f>
        <v>-143.47032539790894</v>
      </c>
      <c r="Q124" s="2">
        <f>10*LOG10((10^(Calculate[[#This Row],[Rx_echo_ds]]/10))-(10^((Masks[[#This Row],[connector_echo]]+Calculate[[#This Row],[Tx_PSD_us]])/10))*EC_conector_ratio_ds)-Calculate[[#This Row],[EC_cancelation_ds]]</f>
        <v>-143.47032539790894</v>
      </c>
      <c r="R124" s="2">
        <f>10*LOG10(POWER(10,Calculate[[#This Row],[AFE_noise_us]]/10)+POWER(10,Calculate[[#This Row],[Echo_res_us]]/10))</f>
        <v>-138.38708034075484</v>
      </c>
      <c r="S124" s="2">
        <f>10*LOG10(POWER(10,Calculate[[#This Row],[AFE_noise_ds]]/10)+POWER(10,Calculate[[#This Row],[Echo_res_ds]]/10))</f>
        <v>-138.38708034075484</v>
      </c>
      <c r="T124" s="2">
        <f>Calculate[[#This Row],[Rx_PSD_us]]-Calculate[[#This Row],[Noise_us]]</f>
        <v>16.969193257076498</v>
      </c>
      <c r="U124" s="2">
        <f>Calculate[[#This Row],[Rx_PSD_ds]]-Calculate[[#This Row],[Noise_ds]]</f>
        <v>16.969193257076498</v>
      </c>
      <c r="V124" s="2">
        <f>POWER(10,Calculate[[#This Row],[SNRdB_us]]/10)</f>
        <v>49.764463421231426</v>
      </c>
      <c r="W124" s="2">
        <f>POWER(10,Calculate[[#This Row],[SNRdB_ds]]/10)</f>
        <v>49.764463421231426</v>
      </c>
      <c r="X124" s="2">
        <f>-(0.002*Calculate[[#This Row],[Freq]]/1000000/2.5+0.68*(Calculate[[#This Row],[Freq]]/1000000/2.5)^0.45)</f>
        <v>-26.197018084388279</v>
      </c>
    </row>
    <row r="125" spans="1:24" x14ac:dyDescent="0.25">
      <c r="A125" s="34">
        <f t="shared" si="19"/>
        <v>5580000000</v>
      </c>
      <c r="B125" s="1">
        <f>Calculate[[#This Row],[Freq]]-A124</f>
        <v>45000000</v>
      </c>
      <c r="C125">
        <f>Channels!B125*cable_length</f>
        <v>-23.063517835648533</v>
      </c>
      <c r="D125" s="2">
        <f>Masks!A125</f>
        <v>-98.470325397914564</v>
      </c>
      <c r="E125" s="2">
        <f>Masks!B125</f>
        <v>-98.470325397914564</v>
      </c>
      <c r="F125" s="2">
        <f>Calculate[[#This Row],[Tx_PSD_us]]+Calculate[[#This Row],[IL]]</f>
        <v>-121.53384323356309</v>
      </c>
      <c r="G125" s="2">
        <f>Calculate[[#This Row],[Tx_PSD_ds]]+Calculate[[#This Row],[IL]]</f>
        <v>-121.53384323356309</v>
      </c>
      <c r="H125" s="2">
        <f>Masks[[#This Row],[channel_echo]]</f>
        <v>-10.093060393202485</v>
      </c>
      <c r="I125" s="2">
        <f>Masks[[#This Row],[channel_echo]]</f>
        <v>-10.093060393202485</v>
      </c>
      <c r="J125" s="2">
        <f>Calculate[[#This Row],[Echo_transfer_us]]+Calculate[[#This Row],[Tx_PSD_ds]]</f>
        <v>-108.56338579111704</v>
      </c>
      <c r="K125" s="2">
        <f>Calculate[[#This Row],[Echo_transfer_ds]]+Calculate[[#This Row],[Tx_PSD_us]]</f>
        <v>-108.56338579111704</v>
      </c>
      <c r="L125" s="2">
        <f t="shared" si="15"/>
        <v>-140</v>
      </c>
      <c r="M125" s="2">
        <f t="shared" si="16"/>
        <v>-140</v>
      </c>
      <c r="N125" s="2">
        <f t="shared" si="17"/>
        <v>5</v>
      </c>
      <c r="O125" s="2">
        <f t="shared" si="18"/>
        <v>5</v>
      </c>
      <c r="P125" s="2">
        <f>10*LOG10((10^(Calculate[[#This Row],[Rx_echo_us]]/10))-(10^((Masks[[#This Row],[connector_echo]]+Calculate[[#This Row],[Tx_PSD_ds]])/10))*EC_conector_ratio_us)-Calculate[[#This Row],[EC_cancelation_us]]</f>
        <v>-143.47032539790598</v>
      </c>
      <c r="Q125" s="2">
        <f>10*LOG10((10^(Calculate[[#This Row],[Rx_echo_ds]]/10))-(10^((Masks[[#This Row],[connector_echo]]+Calculate[[#This Row],[Tx_PSD_us]])/10))*EC_conector_ratio_ds)-Calculate[[#This Row],[EC_cancelation_ds]]</f>
        <v>-143.47032539790598</v>
      </c>
      <c r="R125" s="2">
        <f>10*LOG10(POWER(10,Calculate[[#This Row],[AFE_noise_us]]/10)+POWER(10,Calculate[[#This Row],[Echo_res_us]]/10))</f>
        <v>-138.38708034075393</v>
      </c>
      <c r="S125" s="2">
        <f>10*LOG10(POWER(10,Calculate[[#This Row],[AFE_noise_ds]]/10)+POWER(10,Calculate[[#This Row],[Echo_res_ds]]/10))</f>
        <v>-138.38708034075393</v>
      </c>
      <c r="T125" s="2">
        <f>Calculate[[#This Row],[Rx_PSD_us]]-Calculate[[#This Row],[Noise_us]]</f>
        <v>16.853237107190836</v>
      </c>
      <c r="U125" s="2">
        <f>Calculate[[#This Row],[Rx_PSD_ds]]-Calculate[[#This Row],[Noise_ds]]</f>
        <v>16.853237107190836</v>
      </c>
      <c r="V125" s="2">
        <f>POWER(10,Calculate[[#This Row],[SNRdB_us]]/10)</f>
        <v>48.453339038779831</v>
      </c>
      <c r="W125" s="2">
        <f>POWER(10,Calculate[[#This Row],[SNRdB_ds]]/10)</f>
        <v>48.453339038779831</v>
      </c>
      <c r="X125" s="2">
        <f>-(0.002*Calculate[[#This Row],[Freq]]/1000000/2.5+0.68*(Calculate[[#This Row],[Freq]]/1000000/2.5)^0.45)</f>
        <v>-26.312483514527557</v>
      </c>
    </row>
    <row r="126" spans="1:24" x14ac:dyDescent="0.25">
      <c r="A126" s="34">
        <f t="shared" si="19"/>
        <v>5625000000</v>
      </c>
      <c r="B126" s="1">
        <f>Calculate[[#This Row],[Freq]]-A125</f>
        <v>45000000</v>
      </c>
      <c r="C126">
        <f>Channels!B126*cable_length</f>
        <v>-23.179190987720457</v>
      </c>
      <c r="D126" s="2">
        <f>Masks!A126</f>
        <v>-98.470325397914564</v>
      </c>
      <c r="E126" s="2">
        <f>Masks!B126</f>
        <v>-98.470325397914564</v>
      </c>
      <c r="F126" s="2">
        <f>Calculate[[#This Row],[Tx_PSD_us]]+Calculate[[#This Row],[IL]]</f>
        <v>-121.64951638563502</v>
      </c>
      <c r="G126" s="2">
        <f>Calculate[[#This Row],[Tx_PSD_ds]]+Calculate[[#This Row],[IL]]</f>
        <v>-121.64951638563502</v>
      </c>
      <c r="H126" s="2">
        <f>Masks[[#This Row],[channel_echo]]</f>
        <v>-10.059249228541729</v>
      </c>
      <c r="I126" s="2">
        <f>Masks[[#This Row],[channel_echo]]</f>
        <v>-10.059249228541729</v>
      </c>
      <c r="J126" s="2">
        <f>Calculate[[#This Row],[Echo_transfer_us]]+Calculate[[#This Row],[Tx_PSD_ds]]</f>
        <v>-108.5295746264563</v>
      </c>
      <c r="K126" s="2">
        <f>Calculate[[#This Row],[Echo_transfer_ds]]+Calculate[[#This Row],[Tx_PSD_us]]</f>
        <v>-108.5295746264563</v>
      </c>
      <c r="L126" s="2">
        <f t="shared" si="15"/>
        <v>-140</v>
      </c>
      <c r="M126" s="2">
        <f t="shared" si="16"/>
        <v>-140</v>
      </c>
      <c r="N126" s="2">
        <f t="shared" si="17"/>
        <v>5</v>
      </c>
      <c r="O126" s="2">
        <f t="shared" si="18"/>
        <v>5</v>
      </c>
      <c r="P126" s="2">
        <f>10*LOG10((10^(Calculate[[#This Row],[Rx_echo_us]]/10))-(10^((Masks[[#This Row],[connector_echo]]+Calculate[[#This Row],[Tx_PSD_ds]])/10))*EC_conector_ratio_us)-Calculate[[#This Row],[EC_cancelation_us]]</f>
        <v>-143.47032539792966</v>
      </c>
      <c r="Q126" s="2">
        <f>10*LOG10((10^(Calculate[[#This Row],[Rx_echo_ds]]/10))-(10^((Masks[[#This Row],[connector_echo]]+Calculate[[#This Row],[Tx_PSD_us]])/10))*EC_conector_ratio_ds)-Calculate[[#This Row],[EC_cancelation_ds]]</f>
        <v>-143.47032539792966</v>
      </c>
      <c r="R126" s="2">
        <f>10*LOG10(POWER(10,Calculate[[#This Row],[AFE_noise_us]]/10)+POWER(10,Calculate[[#This Row],[Echo_res_us]]/10))</f>
        <v>-138.38708034076126</v>
      </c>
      <c r="S126" s="2">
        <f>10*LOG10(POWER(10,Calculate[[#This Row],[AFE_noise_ds]]/10)+POWER(10,Calculate[[#This Row],[Echo_res_ds]]/10))</f>
        <v>-138.38708034076126</v>
      </c>
      <c r="T126" s="2">
        <f>Calculate[[#This Row],[Rx_PSD_us]]-Calculate[[#This Row],[Noise_us]]</f>
        <v>16.737563955126234</v>
      </c>
      <c r="U126" s="2">
        <f>Calculate[[#This Row],[Rx_PSD_ds]]-Calculate[[#This Row],[Noise_ds]]</f>
        <v>16.737563955126234</v>
      </c>
      <c r="V126" s="2">
        <f>POWER(10,Calculate[[#This Row],[SNRdB_us]]/10)</f>
        <v>47.179832588260993</v>
      </c>
      <c r="W126" s="2">
        <f>POWER(10,Calculate[[#This Row],[SNRdB_ds]]/10)</f>
        <v>47.179832588260993</v>
      </c>
      <c r="X126" s="2">
        <f>-(0.002*Calculate[[#This Row],[Freq]]/1000000/2.5+0.68*(Calculate[[#This Row],[Freq]]/1000000/2.5)^0.45)</f>
        <v>-26.427597252711198</v>
      </c>
    </row>
    <row r="127" spans="1:24" x14ac:dyDescent="0.25">
      <c r="A127" s="34">
        <f t="shared" si="19"/>
        <v>5670000000</v>
      </c>
      <c r="B127" s="1">
        <f>Calculate[[#This Row],[Freq]]-A126</f>
        <v>45000000</v>
      </c>
      <c r="C127">
        <f>Channels!B127*cable_length</f>
        <v>-23.294584531242826</v>
      </c>
      <c r="D127" s="2">
        <f>Masks!A127</f>
        <v>-98.470325397914564</v>
      </c>
      <c r="E127" s="2">
        <f>Masks!B127</f>
        <v>-98.470325397914564</v>
      </c>
      <c r="F127" s="2">
        <f>Calculate[[#This Row],[Tx_PSD_us]]+Calculate[[#This Row],[IL]]</f>
        <v>-121.7649099291574</v>
      </c>
      <c r="G127" s="2">
        <f>Calculate[[#This Row],[Tx_PSD_ds]]+Calculate[[#This Row],[IL]]</f>
        <v>-121.7649099291574</v>
      </c>
      <c r="H127" s="2">
        <f>Masks[[#This Row],[channel_echo]]</f>
        <v>-10.02569926202529</v>
      </c>
      <c r="I127" s="2">
        <f>Masks[[#This Row],[channel_echo]]</f>
        <v>-10.02569926202529</v>
      </c>
      <c r="J127" s="2">
        <f>Calculate[[#This Row],[Echo_transfer_us]]+Calculate[[#This Row],[Tx_PSD_ds]]</f>
        <v>-108.49602465993985</v>
      </c>
      <c r="K127" s="2">
        <f>Calculate[[#This Row],[Echo_transfer_ds]]+Calculate[[#This Row],[Tx_PSD_us]]</f>
        <v>-108.49602465993985</v>
      </c>
      <c r="L127" s="2">
        <f t="shared" si="15"/>
        <v>-140</v>
      </c>
      <c r="M127" s="2">
        <f t="shared" si="16"/>
        <v>-140</v>
      </c>
      <c r="N127" s="2">
        <f t="shared" si="17"/>
        <v>5</v>
      </c>
      <c r="O127" s="2">
        <f t="shared" si="18"/>
        <v>5</v>
      </c>
      <c r="P127" s="2">
        <f>10*LOG10((10^(Calculate[[#This Row],[Rx_echo_us]]/10))-(10^((Masks[[#This Row],[connector_echo]]+Calculate[[#This Row],[Tx_PSD_ds]])/10))*EC_conector_ratio_us)-Calculate[[#This Row],[EC_cancelation_us]]</f>
        <v>-143.47032539793557</v>
      </c>
      <c r="Q127" s="2">
        <f>10*LOG10((10^(Calculate[[#This Row],[Rx_echo_ds]]/10))-(10^((Masks[[#This Row],[connector_echo]]+Calculate[[#This Row],[Tx_PSD_us]])/10))*EC_conector_ratio_ds)-Calculate[[#This Row],[EC_cancelation_ds]]</f>
        <v>-143.47032539793557</v>
      </c>
      <c r="R127" s="2">
        <f>10*LOG10(POWER(10,Calculate[[#This Row],[AFE_noise_us]]/10)+POWER(10,Calculate[[#This Row],[Echo_res_us]]/10))</f>
        <v>-138.38708034076311</v>
      </c>
      <c r="S127" s="2">
        <f>10*LOG10(POWER(10,Calculate[[#This Row],[AFE_noise_ds]]/10)+POWER(10,Calculate[[#This Row],[Echo_res_ds]]/10))</f>
        <v>-138.38708034076311</v>
      </c>
      <c r="T127" s="2">
        <f>Calculate[[#This Row],[Rx_PSD_us]]-Calculate[[#This Row],[Noise_us]]</f>
        <v>16.622170411605708</v>
      </c>
      <c r="U127" s="2">
        <f>Calculate[[#This Row],[Rx_PSD_ds]]-Calculate[[#This Row],[Noise_ds]]</f>
        <v>16.622170411605708</v>
      </c>
      <c r="V127" s="2">
        <f>POWER(10,Calculate[[#This Row],[SNRdB_us]]/10)</f>
        <v>45.942755703322966</v>
      </c>
      <c r="W127" s="2">
        <f>POWER(10,Calculate[[#This Row],[SNRdB_ds]]/10)</f>
        <v>45.942755703322966</v>
      </c>
      <c r="X127" s="2">
        <f>-(0.002*Calculate[[#This Row],[Freq]]/1000000/2.5+0.68*(Calculate[[#This Row],[Freq]]/1000000/2.5)^0.45)</f>
        <v>-26.542363650432307</v>
      </c>
    </row>
    <row r="128" spans="1:24" x14ac:dyDescent="0.25">
      <c r="A128" s="34">
        <f t="shared" si="19"/>
        <v>5715000000</v>
      </c>
      <c r="B128" s="1">
        <f>Calculate[[#This Row],[Freq]]-A127</f>
        <v>45000000</v>
      </c>
      <c r="C128">
        <f>Channels!B128*cable_length</f>
        <v>-23.409701788362948</v>
      </c>
      <c r="D128" s="2">
        <f>Masks!A128</f>
        <v>-98.470325397914564</v>
      </c>
      <c r="E128" s="2">
        <f>Masks!B128</f>
        <v>-98.470325397914564</v>
      </c>
      <c r="F128" s="2">
        <f>Calculate[[#This Row],[Tx_PSD_us]]+Calculate[[#This Row],[IL]]</f>
        <v>-121.88002718627752</v>
      </c>
      <c r="G128" s="2">
        <f>Calculate[[#This Row],[Tx_PSD_ds]]+Calculate[[#This Row],[IL]]</f>
        <v>-121.88002718627752</v>
      </c>
      <c r="H128" s="2">
        <f>Masks[[#This Row],[channel_echo]]</f>
        <v>-9.9924064889526285</v>
      </c>
      <c r="I128" s="2">
        <f>Masks[[#This Row],[channel_echo]]</f>
        <v>-9.9924064889526285</v>
      </c>
      <c r="J128" s="2">
        <f>Calculate[[#This Row],[Echo_transfer_us]]+Calculate[[#This Row],[Tx_PSD_ds]]</f>
        <v>-108.46273188686719</v>
      </c>
      <c r="K128" s="2">
        <f>Calculate[[#This Row],[Echo_transfer_ds]]+Calculate[[#This Row],[Tx_PSD_us]]</f>
        <v>-108.46273188686719</v>
      </c>
      <c r="L128" s="2">
        <f t="shared" si="15"/>
        <v>-140</v>
      </c>
      <c r="M128" s="2">
        <f t="shared" si="16"/>
        <v>-140</v>
      </c>
      <c r="N128" s="2">
        <f t="shared" si="17"/>
        <v>5</v>
      </c>
      <c r="O128" s="2">
        <f t="shared" si="18"/>
        <v>5</v>
      </c>
      <c r="P128" s="2">
        <f>10*LOG10((10^(Calculate[[#This Row],[Rx_echo_us]]/10))-(10^((Masks[[#This Row],[connector_echo]]+Calculate[[#This Row],[Tx_PSD_ds]])/10))*EC_conector_ratio_us)-Calculate[[#This Row],[EC_cancelation_us]]</f>
        <v>-143.47032539789711</v>
      </c>
      <c r="Q128" s="2">
        <f>10*LOG10((10^(Calculate[[#This Row],[Rx_echo_ds]]/10))-(10^((Masks[[#This Row],[connector_echo]]+Calculate[[#This Row],[Tx_PSD_us]])/10))*EC_conector_ratio_ds)-Calculate[[#This Row],[EC_cancelation_ds]]</f>
        <v>-143.47032539789711</v>
      </c>
      <c r="R128" s="2">
        <f>10*LOG10(POWER(10,Calculate[[#This Row],[AFE_noise_us]]/10)+POWER(10,Calculate[[#This Row],[Echo_res_us]]/10))</f>
        <v>-138.38708034075117</v>
      </c>
      <c r="S128" s="2">
        <f>10*LOG10(POWER(10,Calculate[[#This Row],[AFE_noise_ds]]/10)+POWER(10,Calculate[[#This Row],[Echo_res_ds]]/10))</f>
        <v>-138.38708034075117</v>
      </c>
      <c r="T128" s="2">
        <f>Calculate[[#This Row],[Rx_PSD_us]]-Calculate[[#This Row],[Noise_us]]</f>
        <v>16.507053154473653</v>
      </c>
      <c r="U128" s="2">
        <f>Calculate[[#This Row],[Rx_PSD_ds]]-Calculate[[#This Row],[Noise_ds]]</f>
        <v>16.507053154473653</v>
      </c>
      <c r="V128" s="2">
        <f>POWER(10,Calculate[[#This Row],[SNRdB_us]]/10)</f>
        <v>44.740961750913456</v>
      </c>
      <c r="W128" s="2">
        <f>POWER(10,Calculate[[#This Row],[SNRdB_ds]]/10)</f>
        <v>44.740961750913456</v>
      </c>
      <c r="X128" s="2">
        <f>-(0.002*Calculate[[#This Row],[Freq]]/1000000/2.5+0.68*(Calculate[[#This Row],[Freq]]/1000000/2.5)^0.45)</f>
        <v>-26.656786971307504</v>
      </c>
    </row>
    <row r="129" spans="1:24" x14ac:dyDescent="0.25">
      <c r="A129" s="34">
        <f t="shared" si="19"/>
        <v>5760000000</v>
      </c>
      <c r="B129" s="1">
        <f>Calculate[[#This Row],[Freq]]-A128</f>
        <v>45000000</v>
      </c>
      <c r="C129">
        <f>Channels!B129*cable_length</f>
        <v>-23.524546015958222</v>
      </c>
      <c r="D129" s="2">
        <f>Masks!A129</f>
        <v>-98.470325397914564</v>
      </c>
      <c r="E129" s="2">
        <f>Masks!B129</f>
        <v>-98.470325397914564</v>
      </c>
      <c r="F129" s="2">
        <f>Calculate[[#This Row],[Tx_PSD_us]]+Calculate[[#This Row],[IL]]</f>
        <v>-121.99487141387279</v>
      </c>
      <c r="G129" s="2">
        <f>Calculate[[#This Row],[Tx_PSD_ds]]+Calculate[[#This Row],[IL]]</f>
        <v>-121.99487141387279</v>
      </c>
      <c r="H129" s="2">
        <f>Masks[[#This Row],[channel_echo]]</f>
        <v>-9.9593669960233306</v>
      </c>
      <c r="I129" s="2">
        <f>Masks[[#This Row],[channel_echo]]</f>
        <v>-9.9593669960233306</v>
      </c>
      <c r="J129" s="2">
        <f>Calculate[[#This Row],[Echo_transfer_us]]+Calculate[[#This Row],[Tx_PSD_ds]]</f>
        <v>-108.4296923939379</v>
      </c>
      <c r="K129" s="2">
        <f>Calculate[[#This Row],[Echo_transfer_ds]]+Calculate[[#This Row],[Tx_PSD_us]]</f>
        <v>-108.4296923939379</v>
      </c>
      <c r="L129" s="2">
        <f t="shared" si="15"/>
        <v>-140</v>
      </c>
      <c r="M129" s="2">
        <f t="shared" si="16"/>
        <v>-140</v>
      </c>
      <c r="N129" s="2">
        <f t="shared" si="17"/>
        <v>5</v>
      </c>
      <c r="O129" s="2">
        <f t="shared" si="18"/>
        <v>5</v>
      </c>
      <c r="P129" s="2">
        <f>10*LOG10((10^(Calculate[[#This Row],[Rx_echo_us]]/10))-(10^((Masks[[#This Row],[connector_echo]]+Calculate[[#This Row],[Tx_PSD_ds]])/10))*EC_conector_ratio_us)-Calculate[[#This Row],[EC_cancelation_us]]</f>
        <v>-143.47032539793213</v>
      </c>
      <c r="Q129" s="2">
        <f>10*LOG10((10^(Calculate[[#This Row],[Rx_echo_ds]]/10))-(10^((Masks[[#This Row],[connector_echo]]+Calculate[[#This Row],[Tx_PSD_us]])/10))*EC_conector_ratio_ds)-Calculate[[#This Row],[EC_cancelation_ds]]</f>
        <v>-143.47032539793213</v>
      </c>
      <c r="R129" s="2">
        <f>10*LOG10(POWER(10,Calculate[[#This Row],[AFE_noise_us]]/10)+POWER(10,Calculate[[#This Row],[Echo_res_us]]/10))</f>
        <v>-138.38708034076203</v>
      </c>
      <c r="S129" s="2">
        <f>10*LOG10(POWER(10,Calculate[[#This Row],[AFE_noise_ds]]/10)+POWER(10,Calculate[[#This Row],[Echo_res_ds]]/10))</f>
        <v>-138.38708034076203</v>
      </c>
      <c r="T129" s="2">
        <f>Calculate[[#This Row],[Rx_PSD_us]]-Calculate[[#This Row],[Noise_us]]</f>
        <v>16.392208926889239</v>
      </c>
      <c r="U129" s="2">
        <f>Calculate[[#This Row],[Rx_PSD_ds]]-Calculate[[#This Row],[Noise_ds]]</f>
        <v>16.392208926889239</v>
      </c>
      <c r="V129" s="2">
        <f>POWER(10,Calculate[[#This Row],[SNRdB_us]]/10)</f>
        <v>43.573344191213536</v>
      </c>
      <c r="W129" s="2">
        <f>POWER(10,Calculate[[#This Row],[SNRdB_ds]]/10)</f>
        <v>43.573344191213536</v>
      </c>
      <c r="X129" s="2">
        <f>-(0.002*Calculate[[#This Row],[Freq]]/1000000/2.5+0.68*(Calculate[[#This Row],[Freq]]/1000000/2.5)^0.45)</f>
        <v>-26.770871393528012</v>
      </c>
    </row>
    <row r="130" spans="1:24" x14ac:dyDescent="0.25">
      <c r="A130" s="34">
        <f t="shared" si="19"/>
        <v>5805000000</v>
      </c>
      <c r="B130" s="1">
        <f>Calculate[[#This Row],[Freq]]-A129</f>
        <v>45000000</v>
      </c>
      <c r="C130">
        <f>Channels!B130*cable_length</f>
        <v>-23.639120407417458</v>
      </c>
      <c r="D130" s="2">
        <f>Masks!A130</f>
        <v>-98.470325397914564</v>
      </c>
      <c r="E130" s="2">
        <f>Masks!B130</f>
        <v>-98.470325397914564</v>
      </c>
      <c r="F130" s="2">
        <f>Calculate[[#This Row],[Tx_PSD_us]]+Calculate[[#This Row],[IL]]</f>
        <v>-122.10944580533203</v>
      </c>
      <c r="G130" s="2">
        <f>Calculate[[#This Row],[Tx_PSD_ds]]+Calculate[[#This Row],[IL]]</f>
        <v>-122.10944580533203</v>
      </c>
      <c r="H130" s="2">
        <f>Masks[[#This Row],[channel_echo]]</f>
        <v>-9.9265769585766925</v>
      </c>
      <c r="I130" s="2">
        <f>Masks[[#This Row],[channel_echo]]</f>
        <v>-9.9265769585766925</v>
      </c>
      <c r="J130" s="2">
        <f>Calculate[[#This Row],[Echo_transfer_us]]+Calculate[[#This Row],[Tx_PSD_ds]]</f>
        <v>-108.39690235649125</v>
      </c>
      <c r="K130" s="2">
        <f>Calculate[[#This Row],[Echo_transfer_ds]]+Calculate[[#This Row],[Tx_PSD_us]]</f>
        <v>-108.39690235649125</v>
      </c>
      <c r="L130" s="2">
        <f t="shared" ref="L130:L161" si="20">AFE_noise_us</f>
        <v>-140</v>
      </c>
      <c r="M130" s="2">
        <f t="shared" ref="M130:M161" si="21">AFE_noise_ds</f>
        <v>-140</v>
      </c>
      <c r="N130" s="2">
        <f t="shared" ref="N130:N161" si="22">EC_cancel_us</f>
        <v>5</v>
      </c>
      <c r="O130" s="2">
        <f t="shared" ref="O130:O161" si="23">EC_cancel_ds</f>
        <v>5</v>
      </c>
      <c r="P130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130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130" s="2">
        <f>10*LOG10(POWER(10,Calculate[[#This Row],[AFE_noise_us]]/10)+POWER(10,Calculate[[#This Row],[Echo_res_us]]/10))</f>
        <v>-138.38708034075592</v>
      </c>
      <c r="S130" s="2">
        <f>10*LOG10(POWER(10,Calculate[[#This Row],[AFE_noise_ds]]/10)+POWER(10,Calculate[[#This Row],[Echo_res_ds]]/10))</f>
        <v>-138.38708034075592</v>
      </c>
      <c r="T130" s="2">
        <f>Calculate[[#This Row],[Rx_PSD_us]]-Calculate[[#This Row],[Noise_us]]</f>
        <v>16.277634535423886</v>
      </c>
      <c r="U130" s="2">
        <f>Calculate[[#This Row],[Rx_PSD_ds]]-Calculate[[#This Row],[Noise_ds]]</f>
        <v>16.277634535423886</v>
      </c>
      <c r="V130" s="2">
        <f>POWER(10,Calculate[[#This Row],[SNRdB_us]]/10)</f>
        <v>42.438835008342593</v>
      </c>
      <c r="W130" s="2">
        <f>POWER(10,Calculate[[#This Row],[SNRdB_ds]]/10)</f>
        <v>42.438835008342593</v>
      </c>
      <c r="X130" s="2">
        <f>-(0.002*Calculate[[#This Row],[Freq]]/1000000/2.5+0.68*(Calculate[[#This Row],[Freq]]/1000000/2.5)^0.45)</f>
        <v>-26.884621012223889</v>
      </c>
    </row>
    <row r="131" spans="1:24" x14ac:dyDescent="0.25">
      <c r="A131" s="34">
        <f t="shared" ref="A131:A162" si="24">f_step+A130</f>
        <v>5850000000</v>
      </c>
      <c r="B131" s="1">
        <f>Calculate[[#This Row],[Freq]]-A130</f>
        <v>45000000</v>
      </c>
      <c r="C131">
        <f>Channels!B131*cable_length</f>
        <v>-23.753428094360146</v>
      </c>
      <c r="D131" s="2">
        <f>Masks!A131</f>
        <v>-98.470325397914564</v>
      </c>
      <c r="E131" s="2">
        <f>Masks!B131</f>
        <v>-98.470325397914564</v>
      </c>
      <c r="F131" s="2">
        <f>Calculate[[#This Row],[Tx_PSD_us]]+Calculate[[#This Row],[IL]]</f>
        <v>-122.22375349227471</v>
      </c>
      <c r="G131" s="2">
        <f>Calculate[[#This Row],[Tx_PSD_ds]]+Calculate[[#This Row],[IL]]</f>
        <v>-122.22375349227471</v>
      </c>
      <c r="H131" s="2">
        <f>Masks[[#This Row],[channel_echo]]</f>
        <v>-9.8940326379347496</v>
      </c>
      <c r="I131" s="2">
        <f>Masks[[#This Row],[channel_echo]]</f>
        <v>-9.8940326379347496</v>
      </c>
      <c r="J131" s="2">
        <f>Calculate[[#This Row],[Echo_transfer_us]]+Calculate[[#This Row],[Tx_PSD_ds]]</f>
        <v>-108.36435803584931</v>
      </c>
      <c r="K131" s="2">
        <f>Calculate[[#This Row],[Echo_transfer_ds]]+Calculate[[#This Row],[Tx_PSD_us]]</f>
        <v>-108.36435803584931</v>
      </c>
      <c r="L131" s="2">
        <f t="shared" si="20"/>
        <v>-140</v>
      </c>
      <c r="M131" s="2">
        <f t="shared" si="21"/>
        <v>-140</v>
      </c>
      <c r="N131" s="2">
        <f t="shared" si="22"/>
        <v>5</v>
      </c>
      <c r="O131" s="2">
        <f t="shared" si="23"/>
        <v>5</v>
      </c>
      <c r="P131" s="2">
        <f>10*LOG10((10^(Calculate[[#This Row],[Rx_echo_us]]/10))-(10^((Masks[[#This Row],[connector_echo]]+Calculate[[#This Row],[Tx_PSD_ds]])/10))*EC_conector_ratio_us)-Calculate[[#This Row],[EC_cancelation_us]]</f>
        <v>-143.47032539790055</v>
      </c>
      <c r="Q131" s="2">
        <f>10*LOG10((10^(Calculate[[#This Row],[Rx_echo_ds]]/10))-(10^((Masks[[#This Row],[connector_echo]]+Calculate[[#This Row],[Tx_PSD_us]])/10))*EC_conector_ratio_ds)-Calculate[[#This Row],[EC_cancelation_ds]]</f>
        <v>-143.47032539790055</v>
      </c>
      <c r="R131" s="2">
        <f>10*LOG10(POWER(10,Calculate[[#This Row],[AFE_noise_us]]/10)+POWER(10,Calculate[[#This Row],[Echo_res_us]]/10))</f>
        <v>-138.38708034075225</v>
      </c>
      <c r="S131" s="2">
        <f>10*LOG10(POWER(10,Calculate[[#This Row],[AFE_noise_ds]]/10)+POWER(10,Calculate[[#This Row],[Echo_res_ds]]/10))</f>
        <v>-138.38708034075225</v>
      </c>
      <c r="T131" s="2">
        <f>Calculate[[#This Row],[Rx_PSD_us]]-Calculate[[#This Row],[Noise_us]]</f>
        <v>16.163326848477539</v>
      </c>
      <c r="U131" s="2">
        <f>Calculate[[#This Row],[Rx_PSD_ds]]-Calculate[[#This Row],[Noise_ds]]</f>
        <v>16.163326848477539</v>
      </c>
      <c r="V131" s="2">
        <f>POWER(10,Calculate[[#This Row],[SNRdB_us]]/10)</f>
        <v>41.336403212515187</v>
      </c>
      <c r="W131" s="2">
        <f>POWER(10,Calculate[[#This Row],[SNRdB_ds]]/10)</f>
        <v>41.336403212515187</v>
      </c>
      <c r="X131" s="2">
        <f>-(0.002*Calculate[[#This Row],[Freq]]/1000000/2.5+0.68*(Calculate[[#This Row],[Freq]]/1000000/2.5)^0.45)</f>
        <v>-26.998039841745118</v>
      </c>
    </row>
    <row r="132" spans="1:24" x14ac:dyDescent="0.25">
      <c r="A132" s="34">
        <f t="shared" si="24"/>
        <v>5895000000</v>
      </c>
      <c r="B132" s="1">
        <f>Calculate[[#This Row],[Freq]]-A131</f>
        <v>45000000</v>
      </c>
      <c r="C132">
        <f>Channels!B132*cable_length</f>
        <v>-23.867472148296368</v>
      </c>
      <c r="D132" s="2">
        <f>Masks!A132</f>
        <v>-98.470325397914564</v>
      </c>
      <c r="E132" s="2">
        <f>Masks!B132</f>
        <v>-98.470325397914564</v>
      </c>
      <c r="F132" s="2">
        <f>Calculate[[#This Row],[Tx_PSD_us]]+Calculate[[#This Row],[IL]]</f>
        <v>-122.33779754621094</v>
      </c>
      <c r="G132" s="2">
        <f>Calculate[[#This Row],[Tx_PSD_ds]]+Calculate[[#This Row],[IL]]</f>
        <v>-122.33779754621094</v>
      </c>
      <c r="H132" s="2">
        <f>Masks[[#This Row],[channel_echo]]</f>
        <v>-9.8617303788441006</v>
      </c>
      <c r="I132" s="2">
        <f>Masks[[#This Row],[channel_echo]]</f>
        <v>-9.8617303788441006</v>
      </c>
      <c r="J132" s="2">
        <f>Calculate[[#This Row],[Echo_transfer_us]]+Calculate[[#This Row],[Tx_PSD_ds]]</f>
        <v>-108.33205577675866</v>
      </c>
      <c r="K132" s="2">
        <f>Calculate[[#This Row],[Echo_transfer_ds]]+Calculate[[#This Row],[Tx_PSD_us]]</f>
        <v>-108.33205577675866</v>
      </c>
      <c r="L132" s="2">
        <f t="shared" si="20"/>
        <v>-140</v>
      </c>
      <c r="M132" s="2">
        <f t="shared" si="21"/>
        <v>-140</v>
      </c>
      <c r="N132" s="2">
        <f t="shared" si="22"/>
        <v>5</v>
      </c>
      <c r="O132" s="2">
        <f t="shared" si="23"/>
        <v>5</v>
      </c>
      <c r="P132" s="2">
        <f>10*LOG10((10^(Calculate[[#This Row],[Rx_echo_us]]/10))-(10^((Masks[[#This Row],[connector_echo]]+Calculate[[#This Row],[Tx_PSD_ds]])/10))*EC_conector_ratio_us)-Calculate[[#This Row],[EC_cancelation_us]]</f>
        <v>-143.47032539789956</v>
      </c>
      <c r="Q132" s="2">
        <f>10*LOG10((10^(Calculate[[#This Row],[Rx_echo_ds]]/10))-(10^((Masks[[#This Row],[connector_echo]]+Calculate[[#This Row],[Tx_PSD_us]])/10))*EC_conector_ratio_ds)-Calculate[[#This Row],[EC_cancelation_ds]]</f>
        <v>-143.47032539789956</v>
      </c>
      <c r="R132" s="2">
        <f>10*LOG10(POWER(10,Calculate[[#This Row],[AFE_noise_us]]/10)+POWER(10,Calculate[[#This Row],[Echo_res_us]]/10))</f>
        <v>-138.38708034075194</v>
      </c>
      <c r="S132" s="2">
        <f>10*LOG10(POWER(10,Calculate[[#This Row],[AFE_noise_ds]]/10)+POWER(10,Calculate[[#This Row],[Echo_res_ds]]/10))</f>
        <v>-138.38708034075194</v>
      </c>
      <c r="T132" s="2">
        <f>Calculate[[#This Row],[Rx_PSD_us]]-Calculate[[#This Row],[Noise_us]]</f>
        <v>16.049282794541</v>
      </c>
      <c r="U132" s="2">
        <f>Calculate[[#This Row],[Rx_PSD_ds]]-Calculate[[#This Row],[Noise_ds]]</f>
        <v>16.049282794541</v>
      </c>
      <c r="V132" s="2">
        <f>POWER(10,Calculate[[#This Row],[SNRdB_us]]/10)</f>
        <v>40.265053405441051</v>
      </c>
      <c r="W132" s="2">
        <f>POWER(10,Calculate[[#This Row],[SNRdB_ds]]/10)</f>
        <v>40.265053405441051</v>
      </c>
      <c r="X132" s="2">
        <f>-(0.002*Calculate[[#This Row],[Freq]]/1000000/2.5+0.68*(Calculate[[#This Row],[Freq]]/1000000/2.5)^0.45)</f>
        <v>-27.111131817862827</v>
      </c>
    </row>
    <row r="133" spans="1:24" x14ac:dyDescent="0.25">
      <c r="A133" s="34">
        <f t="shared" si="24"/>
        <v>5940000000</v>
      </c>
      <c r="B133" s="1">
        <f>Calculate[[#This Row],[Freq]]-A132</f>
        <v>45000000</v>
      </c>
      <c r="C133">
        <f>Channels!B133*cable_length</f>
        <v>-23.981255582229743</v>
      </c>
      <c r="D133" s="2">
        <f>Masks!A133</f>
        <v>-98.470325397914564</v>
      </c>
      <c r="E133" s="2">
        <f>Masks!B133</f>
        <v>-98.470325397914564</v>
      </c>
      <c r="F133" s="2">
        <f>Calculate[[#This Row],[Tx_PSD_us]]+Calculate[[#This Row],[IL]]</f>
        <v>-122.45158098014431</v>
      </c>
      <c r="G133" s="2">
        <f>Calculate[[#This Row],[Tx_PSD_ds]]+Calculate[[#This Row],[IL]]</f>
        <v>-122.45158098014431</v>
      </c>
      <c r="H133" s="2">
        <f>Masks[[#This Row],[channel_echo]]</f>
        <v>-9.8296666070121965</v>
      </c>
      <c r="I133" s="2">
        <f>Masks[[#This Row],[channel_echo]]</f>
        <v>-9.8296666070121965</v>
      </c>
      <c r="J133" s="2">
        <f>Calculate[[#This Row],[Echo_transfer_us]]+Calculate[[#This Row],[Tx_PSD_ds]]</f>
        <v>-108.29999200492676</v>
      </c>
      <c r="K133" s="2">
        <f>Calculate[[#This Row],[Echo_transfer_ds]]+Calculate[[#This Row],[Tx_PSD_us]]</f>
        <v>-108.29999200492676</v>
      </c>
      <c r="L133" s="2">
        <f t="shared" si="20"/>
        <v>-140</v>
      </c>
      <c r="M133" s="2">
        <f t="shared" si="21"/>
        <v>-140</v>
      </c>
      <c r="N133" s="2">
        <f t="shared" si="22"/>
        <v>5</v>
      </c>
      <c r="O133" s="2">
        <f t="shared" si="23"/>
        <v>5</v>
      </c>
      <c r="P133" s="2">
        <f>10*LOG10((10^(Calculate[[#This Row],[Rx_echo_us]]/10))-(10^((Masks[[#This Row],[connector_echo]]+Calculate[[#This Row],[Tx_PSD_ds]])/10))*EC_conector_ratio_us)-Calculate[[#This Row],[EC_cancelation_us]]</f>
        <v>-143.47032539789069</v>
      </c>
      <c r="Q133" s="2">
        <f>10*LOG10((10^(Calculate[[#This Row],[Rx_echo_ds]]/10))-(10^((Masks[[#This Row],[connector_echo]]+Calculate[[#This Row],[Tx_PSD_us]])/10))*EC_conector_ratio_ds)-Calculate[[#This Row],[EC_cancelation_ds]]</f>
        <v>-143.47032539789069</v>
      </c>
      <c r="R133" s="2">
        <f>10*LOG10(POWER(10,Calculate[[#This Row],[AFE_noise_us]]/10)+POWER(10,Calculate[[#This Row],[Echo_res_us]]/10))</f>
        <v>-138.38708034074918</v>
      </c>
      <c r="S133" s="2">
        <f>10*LOG10(POWER(10,Calculate[[#This Row],[AFE_noise_ds]]/10)+POWER(10,Calculate[[#This Row],[Echo_res_ds]]/10))</f>
        <v>-138.38708034074918</v>
      </c>
      <c r="T133" s="2">
        <f>Calculate[[#This Row],[Rx_PSD_us]]-Calculate[[#This Row],[Noise_us]]</f>
        <v>15.935499360604865</v>
      </c>
      <c r="U133" s="2">
        <f>Calculate[[#This Row],[Rx_PSD_ds]]-Calculate[[#This Row],[Noise_ds]]</f>
        <v>15.935499360604865</v>
      </c>
      <c r="V133" s="2">
        <f>POWER(10,Calculate[[#This Row],[SNRdB_us]]/10)</f>
        <v>39.223824408883722</v>
      </c>
      <c r="W133" s="2">
        <f>POWER(10,Calculate[[#This Row],[SNRdB_ds]]/10)</f>
        <v>39.223824408883722</v>
      </c>
      <c r="X133" s="2">
        <f>-(0.002*Calculate[[#This Row],[Freq]]/1000000/2.5+0.68*(Calculate[[#This Row],[Freq]]/1000000/2.5)^0.45)</f>
        <v>-27.22390079989438</v>
      </c>
    </row>
    <row r="134" spans="1:24" x14ac:dyDescent="0.25">
      <c r="A134" s="34">
        <f t="shared" si="24"/>
        <v>5985000000</v>
      </c>
      <c r="B134" s="1">
        <f>Calculate[[#This Row],[Freq]]-A133</f>
        <v>45000000</v>
      </c>
      <c r="C134">
        <f>Channels!B134*cable_length</f>
        <v>-24.09478135220585</v>
      </c>
      <c r="D134" s="2">
        <f>Masks!A134</f>
        <v>-98.470325397914564</v>
      </c>
      <c r="E134" s="2">
        <f>Masks!B134</f>
        <v>-98.470325397914564</v>
      </c>
      <c r="F134" s="2">
        <f>Calculate[[#This Row],[Tx_PSD_us]]+Calculate[[#This Row],[IL]]</f>
        <v>-122.56510675012041</v>
      </c>
      <c r="G134" s="2">
        <f>Calculate[[#This Row],[Tx_PSD_ds]]+Calculate[[#This Row],[IL]]</f>
        <v>-122.56510675012041</v>
      </c>
      <c r="H134" s="2">
        <f>Masks[[#This Row],[channel_echo]]</f>
        <v>-9.7978378267339004</v>
      </c>
      <c r="I134" s="2">
        <f>Masks[[#This Row],[channel_echo]]</f>
        <v>-9.7978378267339004</v>
      </c>
      <c r="J134" s="2">
        <f>Calculate[[#This Row],[Echo_transfer_us]]+Calculate[[#This Row],[Tx_PSD_ds]]</f>
        <v>-108.26816322464846</v>
      </c>
      <c r="K134" s="2">
        <f>Calculate[[#This Row],[Echo_transfer_ds]]+Calculate[[#This Row],[Tx_PSD_us]]</f>
        <v>-108.26816322464846</v>
      </c>
      <c r="L134" s="2">
        <f t="shared" si="20"/>
        <v>-140</v>
      </c>
      <c r="M134" s="2">
        <f t="shared" si="21"/>
        <v>-140</v>
      </c>
      <c r="N134" s="2">
        <f t="shared" si="22"/>
        <v>5</v>
      </c>
      <c r="O134" s="2">
        <f t="shared" si="23"/>
        <v>5</v>
      </c>
      <c r="P134" s="2">
        <f>10*LOG10((10^(Calculate[[#This Row],[Rx_echo_us]]/10))-(10^((Masks[[#This Row],[connector_echo]]+Calculate[[#This Row],[Tx_PSD_ds]])/10))*EC_conector_ratio_us)-Calculate[[#This Row],[EC_cancelation_us]]</f>
        <v>-143.47032539792227</v>
      </c>
      <c r="Q134" s="2">
        <f>10*LOG10((10^(Calculate[[#This Row],[Rx_echo_ds]]/10))-(10^((Masks[[#This Row],[connector_echo]]+Calculate[[#This Row],[Tx_PSD_us]])/10))*EC_conector_ratio_ds)-Calculate[[#This Row],[EC_cancelation_ds]]</f>
        <v>-143.47032539792227</v>
      </c>
      <c r="R134" s="2">
        <f>10*LOG10(POWER(10,Calculate[[#This Row],[AFE_noise_us]]/10)+POWER(10,Calculate[[#This Row],[Echo_res_us]]/10))</f>
        <v>-138.38708034075898</v>
      </c>
      <c r="S134" s="2">
        <f>10*LOG10(POWER(10,Calculate[[#This Row],[AFE_noise_ds]]/10)+POWER(10,Calculate[[#This Row],[Echo_res_ds]]/10))</f>
        <v>-138.38708034075898</v>
      </c>
      <c r="T134" s="2">
        <f>Calculate[[#This Row],[Rx_PSD_us]]-Calculate[[#This Row],[Noise_us]]</f>
        <v>15.821973590638578</v>
      </c>
      <c r="U134" s="2">
        <f>Calculate[[#This Row],[Rx_PSD_ds]]-Calculate[[#This Row],[Noise_ds]]</f>
        <v>15.821973590638578</v>
      </c>
      <c r="V134" s="2">
        <f>POWER(10,Calculate[[#This Row],[SNRdB_us]]/10)</f>
        <v>38.211787952541314</v>
      </c>
      <c r="W134" s="2">
        <f>POWER(10,Calculate[[#This Row],[SNRdB_ds]]/10)</f>
        <v>38.211787952541314</v>
      </c>
      <c r="X134" s="2">
        <f>-(0.002*Calculate[[#This Row],[Freq]]/1000000/2.5+0.68*(Calculate[[#This Row],[Freq]]/1000000/2.5)^0.45)</f>
        <v>-27.336350572755322</v>
      </c>
    </row>
    <row r="135" spans="1:24" x14ac:dyDescent="0.25">
      <c r="A135" s="34">
        <f t="shared" si="24"/>
        <v>6030000000</v>
      </c>
      <c r="B135" s="1">
        <f>Calculate[[#This Row],[Freq]]-A134</f>
        <v>45000000</v>
      </c>
      <c r="C135">
        <f>Channels!B135*cable_length</f>
        <v>-24.208052358808398</v>
      </c>
      <c r="D135" s="2">
        <f>Masks!A135</f>
        <v>-98.470325397914564</v>
      </c>
      <c r="E135" s="2">
        <f>Masks!B135</f>
        <v>-98.470325397914564</v>
      </c>
      <c r="F135" s="2">
        <f>Calculate[[#This Row],[Tx_PSD_us]]+Calculate[[#This Row],[IL]]</f>
        <v>-122.67837775672297</v>
      </c>
      <c r="G135" s="2">
        <f>Calculate[[#This Row],[Tx_PSD_ds]]+Calculate[[#This Row],[IL]]</f>
        <v>-122.67837775672297</v>
      </c>
      <c r="H135" s="2">
        <f>Masks[[#This Row],[channel_echo]]</f>
        <v>-9.7662406186043764</v>
      </c>
      <c r="I135" s="2">
        <f>Masks[[#This Row],[channel_echo]]</f>
        <v>-9.7662406186043764</v>
      </c>
      <c r="J135" s="2">
        <f>Calculate[[#This Row],[Echo_transfer_us]]+Calculate[[#This Row],[Tx_PSD_ds]]</f>
        <v>-108.23656601651894</v>
      </c>
      <c r="K135" s="2">
        <f>Calculate[[#This Row],[Echo_transfer_ds]]+Calculate[[#This Row],[Tx_PSD_us]]</f>
        <v>-108.23656601651894</v>
      </c>
      <c r="L135" s="2">
        <f t="shared" si="20"/>
        <v>-140</v>
      </c>
      <c r="M135" s="2">
        <f t="shared" si="21"/>
        <v>-140</v>
      </c>
      <c r="N135" s="2">
        <f t="shared" si="22"/>
        <v>5</v>
      </c>
      <c r="O135" s="2">
        <f t="shared" si="23"/>
        <v>5</v>
      </c>
      <c r="P135" s="2">
        <f>10*LOG10((10^(Calculate[[#This Row],[Rx_echo_us]]/10))-(10^((Masks[[#This Row],[connector_echo]]+Calculate[[#This Row],[Tx_PSD_ds]])/10))*EC_conector_ratio_us)-Calculate[[#This Row],[EC_cancelation_us]]</f>
        <v>-143.47032539792818</v>
      </c>
      <c r="Q135" s="2">
        <f>10*LOG10((10^(Calculate[[#This Row],[Rx_echo_ds]]/10))-(10^((Masks[[#This Row],[connector_echo]]+Calculate[[#This Row],[Tx_PSD_us]])/10))*EC_conector_ratio_ds)-Calculate[[#This Row],[EC_cancelation_ds]]</f>
        <v>-143.47032539792818</v>
      </c>
      <c r="R135" s="2">
        <f>10*LOG10(POWER(10,Calculate[[#This Row],[AFE_noise_us]]/10)+POWER(10,Calculate[[#This Row],[Echo_res_us]]/10))</f>
        <v>-138.3870803407608</v>
      </c>
      <c r="S135" s="2">
        <f>10*LOG10(POWER(10,Calculate[[#This Row],[AFE_noise_ds]]/10)+POWER(10,Calculate[[#This Row],[Echo_res_ds]]/10))</f>
        <v>-138.3870803407608</v>
      </c>
      <c r="T135" s="2">
        <f>Calculate[[#This Row],[Rx_PSD_us]]-Calculate[[#This Row],[Noise_us]]</f>
        <v>15.708702584037837</v>
      </c>
      <c r="U135" s="2">
        <f>Calculate[[#This Row],[Rx_PSD_ds]]-Calculate[[#This Row],[Noise_ds]]</f>
        <v>15.708702584037837</v>
      </c>
      <c r="V135" s="2">
        <f>POWER(10,Calculate[[#This Row],[SNRdB_us]]/10)</f>
        <v>37.228047417512236</v>
      </c>
      <c r="W135" s="2">
        <f>POWER(10,Calculate[[#This Row],[SNRdB_ds]]/10)</f>
        <v>37.228047417512236</v>
      </c>
      <c r="X135" s="2">
        <f>-(0.002*Calculate[[#This Row],[Freq]]/1000000/2.5+0.68*(Calculate[[#This Row],[Freq]]/1000000/2.5)^0.45)</f>
        <v>-27.448484848941227</v>
      </c>
    </row>
    <row r="136" spans="1:24" x14ac:dyDescent="0.25">
      <c r="A136" s="34">
        <f t="shared" si="24"/>
        <v>6075000000</v>
      </c>
      <c r="B136" s="1">
        <f>Calculate[[#This Row],[Freq]]-A135</f>
        <v>45000000</v>
      </c>
      <c r="C136">
        <f>Channels!B136*cable_length</f>
        <v>-24.321071448605146</v>
      </c>
      <c r="D136" s="2">
        <f>Masks!A136</f>
        <v>-98.470325397914564</v>
      </c>
      <c r="E136" s="2">
        <f>Masks!B136</f>
        <v>-98.470325397914564</v>
      </c>
      <c r="F136" s="2">
        <f>Calculate[[#This Row],[Tx_PSD_us]]+Calculate[[#This Row],[IL]]</f>
        <v>-122.79139684651972</v>
      </c>
      <c r="G136" s="2">
        <f>Calculate[[#This Row],[Tx_PSD_ds]]+Calculate[[#This Row],[IL]]</f>
        <v>-122.79139684651972</v>
      </c>
      <c r="H136" s="2">
        <f>Masks[[#This Row],[channel_echo]]</f>
        <v>-9.7348716373145923</v>
      </c>
      <c r="I136" s="2">
        <f>Masks[[#This Row],[channel_echo]]</f>
        <v>-9.7348716373145923</v>
      </c>
      <c r="J136" s="2">
        <f>Calculate[[#This Row],[Echo_transfer_us]]+Calculate[[#This Row],[Tx_PSD_ds]]</f>
        <v>-108.20519703522916</v>
      </c>
      <c r="K136" s="2">
        <f>Calculate[[#This Row],[Echo_transfer_ds]]+Calculate[[#This Row],[Tx_PSD_us]]</f>
        <v>-108.20519703522916</v>
      </c>
      <c r="L136" s="2">
        <f t="shared" si="20"/>
        <v>-140</v>
      </c>
      <c r="M136" s="2">
        <f t="shared" si="21"/>
        <v>-140</v>
      </c>
      <c r="N136" s="2">
        <f t="shared" si="22"/>
        <v>5</v>
      </c>
      <c r="O136" s="2">
        <f t="shared" si="23"/>
        <v>5</v>
      </c>
      <c r="P136" s="2">
        <f>10*LOG10((10^(Calculate[[#This Row],[Rx_echo_us]]/10))-(10^((Masks[[#This Row],[connector_echo]]+Calculate[[#This Row],[Tx_PSD_ds]])/10))*EC_conector_ratio_us)-Calculate[[#This Row],[EC_cancelation_us]]</f>
        <v>-143.47032539790351</v>
      </c>
      <c r="Q136" s="2">
        <f>10*LOG10((10^(Calculate[[#This Row],[Rx_echo_ds]]/10))-(10^((Masks[[#This Row],[connector_echo]]+Calculate[[#This Row],[Tx_PSD_us]])/10))*EC_conector_ratio_ds)-Calculate[[#This Row],[EC_cancelation_ds]]</f>
        <v>-143.47032539790351</v>
      </c>
      <c r="R136" s="2">
        <f>10*LOG10(POWER(10,Calculate[[#This Row],[AFE_noise_us]]/10)+POWER(10,Calculate[[#This Row],[Echo_res_us]]/10))</f>
        <v>-138.38708034075316</v>
      </c>
      <c r="S136" s="2">
        <f>10*LOG10(POWER(10,Calculate[[#This Row],[AFE_noise_ds]]/10)+POWER(10,Calculate[[#This Row],[Echo_res_ds]]/10))</f>
        <v>-138.38708034075316</v>
      </c>
      <c r="T136" s="2">
        <f>Calculate[[#This Row],[Rx_PSD_us]]-Calculate[[#This Row],[Noise_us]]</f>
        <v>15.595683494233441</v>
      </c>
      <c r="U136" s="2">
        <f>Calculate[[#This Row],[Rx_PSD_ds]]-Calculate[[#This Row],[Noise_ds]]</f>
        <v>15.595683494233441</v>
      </c>
      <c r="V136" s="2">
        <f>POWER(10,Calculate[[#This Row],[SNRdB_us]]/10)</f>
        <v>36.271736634401947</v>
      </c>
      <c r="W136" s="2">
        <f>POWER(10,Calculate[[#This Row],[SNRdB_ds]]/10)</f>
        <v>36.271736634401947</v>
      </c>
      <c r="X136" s="2">
        <f>-(0.002*Calculate[[#This Row],[Freq]]/1000000/2.5+0.68*(Calculate[[#This Row],[Freq]]/1000000/2.5)^0.45)</f>
        <v>-27.56030727044244</v>
      </c>
    </row>
    <row r="137" spans="1:24" x14ac:dyDescent="0.25">
      <c r="A137" s="34">
        <f t="shared" si="24"/>
        <v>6120000000</v>
      </c>
      <c r="B137" s="1">
        <f>Calculate[[#This Row],[Freq]]-A136</f>
        <v>45000000</v>
      </c>
      <c r="C137">
        <f>Channels!B137*cable_length</f>
        <v>-24.433841415545835</v>
      </c>
      <c r="D137" s="2">
        <f>Masks!A137</f>
        <v>-98.470325397914564</v>
      </c>
      <c r="E137" s="2">
        <f>Masks!B137</f>
        <v>-98.470325397914564</v>
      </c>
      <c r="F137" s="2">
        <f>Calculate[[#This Row],[Tx_PSD_us]]+Calculate[[#This Row],[IL]]</f>
        <v>-122.90416681346039</v>
      </c>
      <c r="G137" s="2">
        <f>Calculate[[#This Row],[Tx_PSD_ds]]+Calculate[[#This Row],[IL]]</f>
        <v>-122.90416681346039</v>
      </c>
      <c r="H137" s="2">
        <f>Masks[[#This Row],[channel_echo]]</f>
        <v>-9.7037276095258704</v>
      </c>
      <c r="I137" s="2">
        <f>Masks[[#This Row],[channel_echo]]</f>
        <v>-9.7037276095258704</v>
      </c>
      <c r="J137" s="2">
        <f>Calculate[[#This Row],[Echo_transfer_us]]+Calculate[[#This Row],[Tx_PSD_ds]]</f>
        <v>-108.17405300744043</v>
      </c>
      <c r="K137" s="2">
        <f>Calculate[[#This Row],[Echo_transfer_ds]]+Calculate[[#This Row],[Tx_PSD_us]]</f>
        <v>-108.17405300744043</v>
      </c>
      <c r="L137" s="2">
        <f t="shared" si="20"/>
        <v>-140</v>
      </c>
      <c r="M137" s="2">
        <f t="shared" si="21"/>
        <v>-140</v>
      </c>
      <c r="N137" s="2">
        <f t="shared" si="22"/>
        <v>5</v>
      </c>
      <c r="O137" s="2">
        <f t="shared" si="23"/>
        <v>5</v>
      </c>
      <c r="P137" s="2">
        <f>10*LOG10((10^(Calculate[[#This Row],[Rx_echo_us]]/10))-(10^((Masks[[#This Row],[connector_echo]]+Calculate[[#This Row],[Tx_PSD_ds]])/10))*EC_conector_ratio_us)-Calculate[[#This Row],[EC_cancelation_us]]</f>
        <v>-143.47032539790746</v>
      </c>
      <c r="Q137" s="2">
        <f>10*LOG10((10^(Calculate[[#This Row],[Rx_echo_ds]]/10))-(10^((Masks[[#This Row],[connector_echo]]+Calculate[[#This Row],[Tx_PSD_us]])/10))*EC_conector_ratio_ds)-Calculate[[#This Row],[EC_cancelation_ds]]</f>
        <v>-143.47032539790746</v>
      </c>
      <c r="R137" s="2">
        <f>10*LOG10(POWER(10,Calculate[[#This Row],[AFE_noise_us]]/10)+POWER(10,Calculate[[#This Row],[Echo_res_us]]/10))</f>
        <v>-138.38708034075438</v>
      </c>
      <c r="S137" s="2">
        <f>10*LOG10(POWER(10,Calculate[[#This Row],[AFE_noise_ds]]/10)+POWER(10,Calculate[[#This Row],[Echo_res_ds]]/10))</f>
        <v>-138.38708034075438</v>
      </c>
      <c r="T137" s="2">
        <f>Calculate[[#This Row],[Rx_PSD_us]]-Calculate[[#This Row],[Noise_us]]</f>
        <v>15.482913527293988</v>
      </c>
      <c r="U137" s="2">
        <f>Calculate[[#This Row],[Rx_PSD_ds]]-Calculate[[#This Row],[Noise_ds]]</f>
        <v>15.482913527293988</v>
      </c>
      <c r="V137" s="2">
        <f>POWER(10,Calculate[[#This Row],[SNRdB_us]]/10)</f>
        <v>35.342018731987217</v>
      </c>
      <c r="W137" s="2">
        <f>POWER(10,Calculate[[#This Row],[SNRdB_ds]]/10)</f>
        <v>35.342018731987217</v>
      </c>
      <c r="X137" s="2">
        <f>-(0.002*Calculate[[#This Row],[Freq]]/1000000/2.5+0.68*(Calculate[[#This Row],[Freq]]/1000000/2.5)^0.45)</f>
        <v>-27.671821410594365</v>
      </c>
    </row>
    <row r="138" spans="1:24" x14ac:dyDescent="0.25">
      <c r="A138" s="34">
        <f t="shared" si="24"/>
        <v>6165000000</v>
      </c>
      <c r="B138" s="1">
        <f>Calculate[[#This Row],[Freq]]-A137</f>
        <v>45000000</v>
      </c>
      <c r="C138">
        <f>Channels!B138*cable_length</f>
        <v>-24.546365002313831</v>
      </c>
      <c r="D138" s="2">
        <f>Masks!A138</f>
        <v>-98.470325397914564</v>
      </c>
      <c r="E138" s="2">
        <f>Masks!B138</f>
        <v>-98.470325397914564</v>
      </c>
      <c r="F138" s="2">
        <f>Calculate[[#This Row],[Tx_PSD_us]]+Calculate[[#This Row],[IL]]</f>
        <v>-123.0166904002284</v>
      </c>
      <c r="G138" s="2">
        <f>Calculate[[#This Row],[Tx_PSD_ds]]+Calculate[[#This Row],[IL]]</f>
        <v>-123.0166904002284</v>
      </c>
      <c r="H138" s="2">
        <f>Masks[[#This Row],[channel_echo]]</f>
        <v>-9.6728053318201077</v>
      </c>
      <c r="I138" s="2">
        <f>Masks[[#This Row],[channel_echo]]</f>
        <v>-9.6728053318201077</v>
      </c>
      <c r="J138" s="2">
        <f>Calculate[[#This Row],[Echo_transfer_us]]+Calculate[[#This Row],[Tx_PSD_ds]]</f>
        <v>-108.14313072973468</v>
      </c>
      <c r="K138" s="2">
        <f>Calculate[[#This Row],[Echo_transfer_ds]]+Calculate[[#This Row],[Tx_PSD_us]]</f>
        <v>-108.14313072973468</v>
      </c>
      <c r="L138" s="2">
        <f t="shared" si="20"/>
        <v>-140</v>
      </c>
      <c r="M138" s="2">
        <f t="shared" si="21"/>
        <v>-140</v>
      </c>
      <c r="N138" s="2">
        <f t="shared" si="22"/>
        <v>5</v>
      </c>
      <c r="O138" s="2">
        <f t="shared" si="23"/>
        <v>5</v>
      </c>
      <c r="P138" s="2">
        <f>10*LOG10((10^(Calculate[[#This Row],[Rx_echo_us]]/10))-(10^((Masks[[#This Row],[connector_echo]]+Calculate[[#This Row],[Tx_PSD_ds]])/10))*EC_conector_ratio_us)-Calculate[[#This Row],[EC_cancelation_us]]</f>
        <v>-143.47032539792127</v>
      </c>
      <c r="Q138" s="2">
        <f>10*LOG10((10^(Calculate[[#This Row],[Rx_echo_ds]]/10))-(10^((Masks[[#This Row],[connector_echo]]+Calculate[[#This Row],[Tx_PSD_us]])/10))*EC_conector_ratio_ds)-Calculate[[#This Row],[EC_cancelation_ds]]</f>
        <v>-143.47032539792127</v>
      </c>
      <c r="R138" s="2">
        <f>10*LOG10(POWER(10,Calculate[[#This Row],[AFE_noise_us]]/10)+POWER(10,Calculate[[#This Row],[Echo_res_us]]/10))</f>
        <v>-138.38708034075867</v>
      </c>
      <c r="S138" s="2">
        <f>10*LOG10(POWER(10,Calculate[[#This Row],[AFE_noise_ds]]/10)+POWER(10,Calculate[[#This Row],[Echo_res_ds]]/10))</f>
        <v>-138.38708034075867</v>
      </c>
      <c r="T138" s="2">
        <f>Calculate[[#This Row],[Rx_PSD_us]]-Calculate[[#This Row],[Noise_us]]</f>
        <v>15.370389940530274</v>
      </c>
      <c r="U138" s="2">
        <f>Calculate[[#This Row],[Rx_PSD_ds]]-Calculate[[#This Row],[Noise_ds]]</f>
        <v>15.370389940530274</v>
      </c>
      <c r="V138" s="2">
        <f>POWER(10,Calculate[[#This Row],[SNRdB_us]]/10)</f>
        <v>34.438085034175955</v>
      </c>
      <c r="W138" s="2">
        <f>POWER(10,Calculate[[#This Row],[SNRdB_ds]]/10)</f>
        <v>34.438085034175955</v>
      </c>
      <c r="X138" s="2">
        <f>-(0.002*Calculate[[#This Row],[Freq]]/1000000/2.5+0.68*(Calculate[[#This Row],[Freq]]/1000000/2.5)^0.45)</f>
        <v>-27.78303077586601</v>
      </c>
    </row>
    <row r="139" spans="1:24" x14ac:dyDescent="0.25">
      <c r="A139" s="34">
        <f t="shared" si="24"/>
        <v>6210000000</v>
      </c>
      <c r="B139" s="1">
        <f>Calculate[[#This Row],[Freq]]-A138</f>
        <v>45000000</v>
      </c>
      <c r="C139">
        <f>Channels!B139*cable_length</f>
        <v>-24.65864490163354</v>
      </c>
      <c r="D139" s="2">
        <f>Masks!A139</f>
        <v>-98.470325397914564</v>
      </c>
      <c r="E139" s="2">
        <f>Masks!B139</f>
        <v>-98.470325397914564</v>
      </c>
      <c r="F139" s="2">
        <f>Calculate[[#This Row],[Tx_PSD_us]]+Calculate[[#This Row],[IL]]</f>
        <v>-123.1289702995481</v>
      </c>
      <c r="G139" s="2">
        <f>Calculate[[#This Row],[Tx_PSD_ds]]+Calculate[[#This Row],[IL]]</f>
        <v>-123.1289702995481</v>
      </c>
      <c r="H139" s="2">
        <f>Masks[[#This Row],[channel_echo]]</f>
        <v>-9.6421016687224306</v>
      </c>
      <c r="I139" s="2">
        <f>Masks[[#This Row],[channel_echo]]</f>
        <v>-9.6421016687224306</v>
      </c>
      <c r="J139" s="2">
        <f>Calculate[[#This Row],[Echo_transfer_us]]+Calculate[[#This Row],[Tx_PSD_ds]]</f>
        <v>-108.112427066637</v>
      </c>
      <c r="K139" s="2">
        <f>Calculate[[#This Row],[Echo_transfer_ds]]+Calculate[[#This Row],[Tx_PSD_us]]</f>
        <v>-108.112427066637</v>
      </c>
      <c r="L139" s="2">
        <f t="shared" si="20"/>
        <v>-140</v>
      </c>
      <c r="M139" s="2">
        <f t="shared" si="21"/>
        <v>-140</v>
      </c>
      <c r="N139" s="2">
        <f t="shared" si="22"/>
        <v>5</v>
      </c>
      <c r="O139" s="2">
        <f t="shared" si="23"/>
        <v>5</v>
      </c>
      <c r="P139" s="2">
        <f>10*LOG10((10^(Calculate[[#This Row],[Rx_echo_us]]/10))-(10^((Masks[[#This Row],[connector_echo]]+Calculate[[#This Row],[Tx_PSD_ds]])/10))*EC_conector_ratio_us)-Calculate[[#This Row],[EC_cancelation_us]]</f>
        <v>-143.47032539792818</v>
      </c>
      <c r="Q139" s="2">
        <f>10*LOG10((10^(Calculate[[#This Row],[Rx_echo_ds]]/10))-(10^((Masks[[#This Row],[connector_echo]]+Calculate[[#This Row],[Tx_PSD_us]])/10))*EC_conector_ratio_ds)-Calculate[[#This Row],[EC_cancelation_ds]]</f>
        <v>-143.47032539792818</v>
      </c>
      <c r="R139" s="2">
        <f>10*LOG10(POWER(10,Calculate[[#This Row],[AFE_noise_us]]/10)+POWER(10,Calculate[[#This Row],[Echo_res_us]]/10))</f>
        <v>-138.3870803407608</v>
      </c>
      <c r="S139" s="2">
        <f>10*LOG10(POWER(10,Calculate[[#This Row],[AFE_noise_ds]]/10)+POWER(10,Calculate[[#This Row],[Echo_res_ds]]/10))</f>
        <v>-138.3870803407608</v>
      </c>
      <c r="T139" s="2">
        <f>Calculate[[#This Row],[Rx_PSD_us]]-Calculate[[#This Row],[Noise_us]]</f>
        <v>15.258110041212703</v>
      </c>
      <c r="U139" s="2">
        <f>Calculate[[#This Row],[Rx_PSD_ds]]-Calculate[[#This Row],[Noise_ds]]</f>
        <v>15.258110041212703</v>
      </c>
      <c r="V139" s="2">
        <f>POWER(10,Calculate[[#This Row],[SNRdB_us]]/10)</f>
        <v>33.559154003902748</v>
      </c>
      <c r="W139" s="2">
        <f>POWER(10,Calculate[[#This Row],[SNRdB_ds]]/10)</f>
        <v>33.559154003902748</v>
      </c>
      <c r="X139" s="2">
        <f>-(0.002*Calculate[[#This Row],[Freq]]/1000000/2.5+0.68*(Calculate[[#This Row],[Freq]]/1000000/2.5)^0.45)</f>
        <v>-27.893938807589265</v>
      </c>
    </row>
    <row r="140" spans="1:24" x14ac:dyDescent="0.25">
      <c r="A140" s="34">
        <f t="shared" si="24"/>
        <v>6255000000</v>
      </c>
      <c r="B140" s="1">
        <f>Calculate[[#This Row],[Freq]]-A139</f>
        <v>45000000</v>
      </c>
      <c r="C140">
        <f>Channels!B140*cable_length</f>
        <v>-24.770683757535203</v>
      </c>
      <c r="D140" s="2">
        <f>Masks!A140</f>
        <v>-98.470325397914564</v>
      </c>
      <c r="E140" s="2">
        <f>Masks!B140</f>
        <v>-98.470325397914564</v>
      </c>
      <c r="F140" s="2">
        <f>Calculate[[#This Row],[Tx_PSD_us]]+Calculate[[#This Row],[IL]]</f>
        <v>-123.24100915544977</v>
      </c>
      <c r="G140" s="2">
        <f>Calculate[[#This Row],[Tx_PSD_ds]]+Calculate[[#This Row],[IL]]</f>
        <v>-123.24100915544977</v>
      </c>
      <c r="H140" s="2">
        <f>Masks[[#This Row],[channel_echo]]</f>
        <v>-9.6116135507932974</v>
      </c>
      <c r="I140" s="2">
        <f>Masks[[#This Row],[channel_echo]]</f>
        <v>-9.6116135507932974</v>
      </c>
      <c r="J140" s="2">
        <f>Calculate[[#This Row],[Echo_transfer_us]]+Calculate[[#This Row],[Tx_PSD_ds]]</f>
        <v>-108.08193894870786</v>
      </c>
      <c r="K140" s="2">
        <f>Calculate[[#This Row],[Echo_transfer_ds]]+Calculate[[#This Row],[Tx_PSD_us]]</f>
        <v>-108.08193894870786</v>
      </c>
      <c r="L140" s="2">
        <f t="shared" si="20"/>
        <v>-140</v>
      </c>
      <c r="M140" s="2">
        <f t="shared" si="21"/>
        <v>-140</v>
      </c>
      <c r="N140" s="2">
        <f t="shared" si="22"/>
        <v>5</v>
      </c>
      <c r="O140" s="2">
        <f t="shared" si="23"/>
        <v>5</v>
      </c>
      <c r="P140" s="2">
        <f>10*LOG10((10^(Calculate[[#This Row],[Rx_echo_us]]/10))-(10^((Masks[[#This Row],[connector_echo]]+Calculate[[#This Row],[Tx_PSD_ds]])/10))*EC_conector_ratio_us)-Calculate[[#This Row],[EC_cancelation_us]]</f>
        <v>-143.47032539790351</v>
      </c>
      <c r="Q140" s="2">
        <f>10*LOG10((10^(Calculate[[#This Row],[Rx_echo_ds]]/10))-(10^((Masks[[#This Row],[connector_echo]]+Calculate[[#This Row],[Tx_PSD_us]])/10))*EC_conector_ratio_ds)-Calculate[[#This Row],[EC_cancelation_ds]]</f>
        <v>-143.47032539790351</v>
      </c>
      <c r="R140" s="2">
        <f>10*LOG10(POWER(10,Calculate[[#This Row],[AFE_noise_us]]/10)+POWER(10,Calculate[[#This Row],[Echo_res_us]]/10))</f>
        <v>-138.38708034075316</v>
      </c>
      <c r="S140" s="2">
        <f>10*LOG10(POWER(10,Calculate[[#This Row],[AFE_noise_ds]]/10)+POWER(10,Calculate[[#This Row],[Echo_res_ds]]/10))</f>
        <v>-138.38708034075316</v>
      </c>
      <c r="T140" s="2">
        <f>Calculate[[#This Row],[Rx_PSD_us]]-Calculate[[#This Row],[Noise_us]]</f>
        <v>15.146071185303384</v>
      </c>
      <c r="U140" s="2">
        <f>Calculate[[#This Row],[Rx_PSD_ds]]-Calculate[[#This Row],[Noise_ds]]</f>
        <v>15.146071185303384</v>
      </c>
      <c r="V140" s="2">
        <f>POWER(10,Calculate[[#This Row],[SNRdB_us]]/10)</f>
        <v>32.704470230956574</v>
      </c>
      <c r="W140" s="2">
        <f>POWER(10,Calculate[[#This Row],[SNRdB_ds]]/10)</f>
        <v>32.704470230956574</v>
      </c>
      <c r="X140" s="2">
        <f>-(0.002*Calculate[[#This Row],[Freq]]/1000000/2.5+0.68*(Calculate[[#This Row],[Freq]]/1000000/2.5)^0.45)</f>
        <v>-28.004548883631188</v>
      </c>
    </row>
    <row r="141" spans="1:24" x14ac:dyDescent="0.25">
      <c r="A141" s="34">
        <f t="shared" si="24"/>
        <v>6300000000</v>
      </c>
      <c r="B141" s="1">
        <f>Calculate[[#This Row],[Freq]]-A140</f>
        <v>45000000</v>
      </c>
      <c r="C141">
        <f>Channels!B141*cable_length</f>
        <v>-24.882484166578863</v>
      </c>
      <c r="D141" s="2">
        <f>Masks!A141</f>
        <v>-98.470325397914564</v>
      </c>
      <c r="E141" s="2">
        <f>Masks!B141</f>
        <v>-98.470325397914564</v>
      </c>
      <c r="F141" s="2">
        <f>Calculate[[#This Row],[Tx_PSD_us]]+Calculate[[#This Row],[IL]]</f>
        <v>-123.35280956449343</v>
      </c>
      <c r="G141" s="2">
        <f>Calculate[[#This Row],[Tx_PSD_ds]]+Calculate[[#This Row],[IL]]</f>
        <v>-123.35280956449343</v>
      </c>
      <c r="H141" s="2">
        <f>Masks[[#This Row],[channel_echo]]</f>
        <v>-9.5813379727870736</v>
      </c>
      <c r="I141" s="2">
        <f>Masks[[#This Row],[channel_echo]]</f>
        <v>-9.5813379727870736</v>
      </c>
      <c r="J141" s="2">
        <f>Calculate[[#This Row],[Echo_transfer_us]]+Calculate[[#This Row],[Tx_PSD_ds]]</f>
        <v>-108.05166337070163</v>
      </c>
      <c r="K141" s="2">
        <f>Calculate[[#This Row],[Echo_transfer_ds]]+Calculate[[#This Row],[Tx_PSD_us]]</f>
        <v>-108.05166337070163</v>
      </c>
      <c r="L141" s="2">
        <f t="shared" si="20"/>
        <v>-140</v>
      </c>
      <c r="M141" s="2">
        <f t="shared" si="21"/>
        <v>-140</v>
      </c>
      <c r="N141" s="2">
        <f t="shared" si="22"/>
        <v>5</v>
      </c>
      <c r="O141" s="2">
        <f t="shared" si="23"/>
        <v>5</v>
      </c>
      <c r="P141" s="2">
        <f>10*LOG10((10^(Calculate[[#This Row],[Rx_echo_us]]/10))-(10^((Masks[[#This Row],[connector_echo]]+Calculate[[#This Row],[Tx_PSD_ds]])/10))*EC_conector_ratio_us)-Calculate[[#This Row],[EC_cancelation_us]]</f>
        <v>-143.47032539789365</v>
      </c>
      <c r="Q141" s="2">
        <f>10*LOG10((10^(Calculate[[#This Row],[Rx_echo_ds]]/10))-(10^((Masks[[#This Row],[connector_echo]]+Calculate[[#This Row],[Tx_PSD_us]])/10))*EC_conector_ratio_ds)-Calculate[[#This Row],[EC_cancelation_ds]]</f>
        <v>-143.47032539789365</v>
      </c>
      <c r="R141" s="2">
        <f>10*LOG10(POWER(10,Calculate[[#This Row],[AFE_noise_us]]/10)+POWER(10,Calculate[[#This Row],[Echo_res_us]]/10))</f>
        <v>-138.38708034075009</v>
      </c>
      <c r="S141" s="2">
        <f>10*LOG10(POWER(10,Calculate[[#This Row],[AFE_noise_ds]]/10)+POWER(10,Calculate[[#This Row],[Echo_res_ds]]/10))</f>
        <v>-138.38708034075009</v>
      </c>
      <c r="T141" s="2">
        <f>Calculate[[#This Row],[Rx_PSD_us]]-Calculate[[#This Row],[Noise_us]]</f>
        <v>15.034270776256662</v>
      </c>
      <c r="U141" s="2">
        <f>Calculate[[#This Row],[Rx_PSD_ds]]-Calculate[[#This Row],[Noise_ds]]</f>
        <v>15.034270776256662</v>
      </c>
      <c r="V141" s="2">
        <f>POWER(10,Calculate[[#This Row],[SNRdB_us]]/10)</f>
        <v>31.873303462125122</v>
      </c>
      <c r="W141" s="2">
        <f>POWER(10,Calculate[[#This Row],[SNRdB_ds]]/10)</f>
        <v>31.873303462125122</v>
      </c>
      <c r="X141" s="2">
        <f>-(0.002*Calculate[[#This Row],[Freq]]/1000000/2.5+0.68*(Calculate[[#This Row],[Freq]]/1000000/2.5)^0.45)</f>
        <v>-28.114864320011783</v>
      </c>
    </row>
    <row r="142" spans="1:24" x14ac:dyDescent="0.25">
      <c r="A142" s="34">
        <f t="shared" si="24"/>
        <v>6345000000</v>
      </c>
      <c r="B142" s="1">
        <f>Calculate[[#This Row],[Freq]]-A141</f>
        <v>45000000</v>
      </c>
      <c r="C142">
        <f>Channels!B142*cable_length</f>
        <v>-24.994048679039036</v>
      </c>
      <c r="D142" s="2">
        <f>Masks!A142</f>
        <v>-98.470325397914564</v>
      </c>
      <c r="E142" s="2">
        <f>Masks!B142</f>
        <v>-98.470325397914564</v>
      </c>
      <c r="F142" s="2">
        <f>Calculate[[#This Row],[Tx_PSD_us]]+Calculate[[#This Row],[IL]]</f>
        <v>-123.4643740769536</v>
      </c>
      <c r="G142" s="2">
        <f>Calculate[[#This Row],[Tx_PSD_ds]]+Calculate[[#This Row],[IL]]</f>
        <v>-123.4643740769536</v>
      </c>
      <c r="H142" s="2">
        <f>Masks[[#This Row],[channel_echo]]</f>
        <v>-9.5512719918743603</v>
      </c>
      <c r="I142" s="2">
        <f>Masks[[#This Row],[channel_echo]]</f>
        <v>-9.5512719918743603</v>
      </c>
      <c r="J142" s="2">
        <f>Calculate[[#This Row],[Echo_transfer_us]]+Calculate[[#This Row],[Tx_PSD_ds]]</f>
        <v>-108.02159738978892</v>
      </c>
      <c r="K142" s="2">
        <f>Calculate[[#This Row],[Echo_transfer_ds]]+Calculate[[#This Row],[Tx_PSD_us]]</f>
        <v>-108.02159738978892</v>
      </c>
      <c r="L142" s="2">
        <f t="shared" si="20"/>
        <v>-140</v>
      </c>
      <c r="M142" s="2">
        <f t="shared" si="21"/>
        <v>-140</v>
      </c>
      <c r="N142" s="2">
        <f t="shared" si="22"/>
        <v>5</v>
      </c>
      <c r="O142" s="2">
        <f t="shared" si="23"/>
        <v>5</v>
      </c>
      <c r="P142" s="2">
        <f>10*LOG10((10^(Calculate[[#This Row],[Rx_echo_us]]/10))-(10^((Masks[[#This Row],[connector_echo]]+Calculate[[#This Row],[Tx_PSD_ds]])/10))*EC_conector_ratio_us)-Calculate[[#This Row],[EC_cancelation_us]]</f>
        <v>-143.47032539789757</v>
      </c>
      <c r="Q142" s="2">
        <f>10*LOG10((10^(Calculate[[#This Row],[Rx_echo_ds]]/10))-(10^((Masks[[#This Row],[connector_echo]]+Calculate[[#This Row],[Tx_PSD_us]])/10))*EC_conector_ratio_ds)-Calculate[[#This Row],[EC_cancelation_ds]]</f>
        <v>-143.47032539789757</v>
      </c>
      <c r="R142" s="2">
        <f>10*LOG10(POWER(10,Calculate[[#This Row],[AFE_noise_us]]/10)+POWER(10,Calculate[[#This Row],[Echo_res_us]]/10))</f>
        <v>-138.38708034075131</v>
      </c>
      <c r="S142" s="2">
        <f>10*LOG10(POWER(10,Calculate[[#This Row],[AFE_noise_ds]]/10)+POWER(10,Calculate[[#This Row],[Echo_res_ds]]/10))</f>
        <v>-138.38708034075131</v>
      </c>
      <c r="T142" s="2">
        <f>Calculate[[#This Row],[Rx_PSD_us]]-Calculate[[#This Row],[Noise_us]]</f>
        <v>14.922706263797707</v>
      </c>
      <c r="U142" s="2">
        <f>Calculate[[#This Row],[Rx_PSD_ds]]-Calculate[[#This Row],[Noise_ds]]</f>
        <v>14.922706263797707</v>
      </c>
      <c r="V142" s="2">
        <f>POWER(10,Calculate[[#This Row],[SNRdB_us]]/10)</f>
        <v>31.064947671029525</v>
      </c>
      <c r="W142" s="2">
        <f>POWER(10,Calculate[[#This Row],[SNRdB_ds]]/10)</f>
        <v>31.064947671029525</v>
      </c>
      <c r="X142" s="2">
        <f>-(0.002*Calculate[[#This Row],[Freq]]/1000000/2.5+0.68*(Calculate[[#This Row],[Freq]]/1000000/2.5)^0.45)</f>
        <v>-28.22488837246917</v>
      </c>
    </row>
    <row r="143" spans="1:24" x14ac:dyDescent="0.25">
      <c r="A143" s="34">
        <f t="shared" si="24"/>
        <v>6390000000</v>
      </c>
      <c r="B143" s="1">
        <f>Calculate[[#This Row],[Freq]]-A142</f>
        <v>45000000</v>
      </c>
      <c r="C143">
        <f>Channels!B143*cable_length</f>
        <v>-25.105379800051633</v>
      </c>
      <c r="D143" s="2">
        <f>Masks!A143</f>
        <v>-98.470325397914564</v>
      </c>
      <c r="E143" s="2">
        <f>Masks!B143</f>
        <v>-98.470325397914564</v>
      </c>
      <c r="F143" s="2">
        <f>Calculate[[#This Row],[Tx_PSD_us]]+Calculate[[#This Row],[IL]]</f>
        <v>-123.5757051979662</v>
      </c>
      <c r="G143" s="2">
        <f>Calculate[[#This Row],[Tx_PSD_ds]]+Calculate[[#This Row],[IL]]</f>
        <v>-123.5757051979662</v>
      </c>
      <c r="H143" s="2">
        <f>Masks[[#This Row],[channel_echo]]</f>
        <v>-9.5214127259254333</v>
      </c>
      <c r="I143" s="2">
        <f>Masks[[#This Row],[channel_echo]]</f>
        <v>-9.5214127259254333</v>
      </c>
      <c r="J143" s="2">
        <f>Calculate[[#This Row],[Echo_transfer_us]]+Calculate[[#This Row],[Tx_PSD_ds]]</f>
        <v>-107.99173812383999</v>
      </c>
      <c r="K143" s="2">
        <f>Calculate[[#This Row],[Echo_transfer_ds]]+Calculate[[#This Row],[Tx_PSD_us]]</f>
        <v>-107.99173812383999</v>
      </c>
      <c r="L143" s="2">
        <f t="shared" si="20"/>
        <v>-140</v>
      </c>
      <c r="M143" s="2">
        <f t="shared" si="21"/>
        <v>-140</v>
      </c>
      <c r="N143" s="2">
        <f t="shared" si="22"/>
        <v>5</v>
      </c>
      <c r="O143" s="2">
        <f t="shared" si="23"/>
        <v>5</v>
      </c>
      <c r="P143" s="2">
        <f>10*LOG10((10^(Calculate[[#This Row],[Rx_echo_us]]/10))-(10^((Masks[[#This Row],[connector_echo]]+Calculate[[#This Row],[Tx_PSD_ds]])/10))*EC_conector_ratio_us)-Calculate[[#This Row],[EC_cancelation_us]]</f>
        <v>-143.47032539792718</v>
      </c>
      <c r="Q143" s="2">
        <f>10*LOG10((10^(Calculate[[#This Row],[Rx_echo_ds]]/10))-(10^((Masks[[#This Row],[connector_echo]]+Calculate[[#This Row],[Tx_PSD_us]])/10))*EC_conector_ratio_ds)-Calculate[[#This Row],[EC_cancelation_ds]]</f>
        <v>-143.47032539792718</v>
      </c>
      <c r="R143" s="2">
        <f>10*LOG10(POWER(10,Calculate[[#This Row],[AFE_noise_us]]/10)+POWER(10,Calculate[[#This Row],[Echo_res_us]]/10))</f>
        <v>-138.38708034076049</v>
      </c>
      <c r="S143" s="2">
        <f>10*LOG10(POWER(10,Calculate[[#This Row],[AFE_noise_ds]]/10)+POWER(10,Calculate[[#This Row],[Echo_res_ds]]/10))</f>
        <v>-138.38708034076049</v>
      </c>
      <c r="T143" s="2">
        <f>Calculate[[#This Row],[Rx_PSD_us]]-Calculate[[#This Row],[Noise_us]]</f>
        <v>14.81137514279429</v>
      </c>
      <c r="U143" s="2">
        <f>Calculate[[#This Row],[Rx_PSD_ds]]-Calculate[[#This Row],[Noise_ds]]</f>
        <v>14.81137514279429</v>
      </c>
      <c r="V143" s="2">
        <f>POWER(10,Calculate[[#This Row],[SNRdB_us]]/10)</f>
        <v>30.278720166688252</v>
      </c>
      <c r="W143" s="2">
        <f>POWER(10,Calculate[[#This Row],[SNRdB_ds]]/10)</f>
        <v>30.278720166688252</v>
      </c>
      <c r="X143" s="2">
        <f>-(0.002*Calculate[[#This Row],[Freq]]/1000000/2.5+0.68*(Calculate[[#This Row],[Freq]]/1000000/2.5)^0.45)</f>
        <v>-28.33462423797446</v>
      </c>
    </row>
    <row r="144" spans="1:24" x14ac:dyDescent="0.25">
      <c r="A144" s="34">
        <f t="shared" si="24"/>
        <v>6435000000</v>
      </c>
      <c r="B144" s="1">
        <f>Calculate[[#This Row],[Freq]]-A143</f>
        <v>45000000</v>
      </c>
      <c r="C144">
        <f>Channels!B144*cable_length</f>
        <v>-25.216479990724597</v>
      </c>
      <c r="D144" s="2">
        <f>Masks!A144</f>
        <v>-98.470325397914564</v>
      </c>
      <c r="E144" s="2">
        <f>Masks!B144</f>
        <v>-98.470325397914564</v>
      </c>
      <c r="F144" s="2">
        <f>Calculate[[#This Row],[Tx_PSD_us]]+Calculate[[#This Row],[IL]]</f>
        <v>-123.68680538863916</v>
      </c>
      <c r="G144" s="2">
        <f>Calculate[[#This Row],[Tx_PSD_ds]]+Calculate[[#This Row],[IL]]</f>
        <v>-123.68680538863916</v>
      </c>
      <c r="H144" s="2">
        <f>Masks[[#This Row],[channel_echo]]</f>
        <v>-9.4917573518522875</v>
      </c>
      <c r="I144" s="2">
        <f>Masks[[#This Row],[channel_echo]]</f>
        <v>-9.4917573518522875</v>
      </c>
      <c r="J144" s="2">
        <f>Calculate[[#This Row],[Echo_transfer_us]]+Calculate[[#This Row],[Tx_PSD_ds]]</f>
        <v>-107.96208274976685</v>
      </c>
      <c r="K144" s="2">
        <f>Calculate[[#This Row],[Echo_transfer_ds]]+Calculate[[#This Row],[Tx_PSD_us]]</f>
        <v>-107.96208274976685</v>
      </c>
      <c r="L144" s="2">
        <f t="shared" si="20"/>
        <v>-140</v>
      </c>
      <c r="M144" s="2">
        <f t="shared" si="21"/>
        <v>-140</v>
      </c>
      <c r="N144" s="2">
        <f t="shared" si="22"/>
        <v>5</v>
      </c>
      <c r="O144" s="2">
        <f t="shared" si="23"/>
        <v>5</v>
      </c>
      <c r="P144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144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144" s="2">
        <f>10*LOG10(POWER(10,Calculate[[#This Row],[AFE_noise_us]]/10)+POWER(10,Calculate[[#This Row],[Echo_res_us]]/10))</f>
        <v>-138.38708034075592</v>
      </c>
      <c r="S144" s="2">
        <f>10*LOG10(POWER(10,Calculate[[#This Row],[AFE_noise_ds]]/10)+POWER(10,Calculate[[#This Row],[Echo_res_ds]]/10))</f>
        <v>-138.38708034075592</v>
      </c>
      <c r="T144" s="2">
        <f>Calculate[[#This Row],[Rx_PSD_us]]-Calculate[[#This Row],[Noise_us]]</f>
        <v>14.700274952116757</v>
      </c>
      <c r="U144" s="2">
        <f>Calculate[[#This Row],[Rx_PSD_ds]]-Calculate[[#This Row],[Noise_ds]]</f>
        <v>14.700274952116757</v>
      </c>
      <c r="V144" s="2">
        <f>POWER(10,Calculate[[#This Row],[SNRdB_us]]/10)</f>
        <v>29.513960738275674</v>
      </c>
      <c r="W144" s="2">
        <f>POWER(10,Calculate[[#This Row],[SNRdB_ds]]/10)</f>
        <v>29.513960738275674</v>
      </c>
      <c r="X144" s="2">
        <f>-(0.002*Calculate[[#This Row],[Freq]]/1000000/2.5+0.68*(Calculate[[#This Row],[Freq]]/1000000/2.5)^0.45)</f>
        <v>-28.444075056198095</v>
      </c>
    </row>
    <row r="145" spans="1:24" x14ac:dyDescent="0.25">
      <c r="A145" s="34">
        <f t="shared" si="24"/>
        <v>6480000000</v>
      </c>
      <c r="B145" s="1">
        <f>Calculate[[#This Row],[Freq]]-A144</f>
        <v>45000000</v>
      </c>
      <c r="C145">
        <f>Channels!B145*cable_length</f>
        <v>-25.327351669213702</v>
      </c>
      <c r="D145" s="2">
        <f>Masks!A145</f>
        <v>-98.470325397914564</v>
      </c>
      <c r="E145" s="2">
        <f>Masks!B145</f>
        <v>-98.470325397914564</v>
      </c>
      <c r="F145" s="2">
        <f>Calculate[[#This Row],[Tx_PSD_us]]+Calculate[[#This Row],[IL]]</f>
        <v>-123.79767706712826</v>
      </c>
      <c r="G145" s="2">
        <f>Calculate[[#This Row],[Tx_PSD_ds]]+Calculate[[#This Row],[IL]]</f>
        <v>-123.79767706712826</v>
      </c>
      <c r="H145" s="2">
        <f>Masks[[#This Row],[channel_echo]]</f>
        <v>-9.4623031040069101</v>
      </c>
      <c r="I145" s="2">
        <f>Masks[[#This Row],[channel_echo]]</f>
        <v>-9.4623031040069101</v>
      </c>
      <c r="J145" s="2">
        <f>Calculate[[#This Row],[Echo_transfer_us]]+Calculate[[#This Row],[Tx_PSD_ds]]</f>
        <v>-107.93262850192147</v>
      </c>
      <c r="K145" s="2">
        <f>Calculate[[#This Row],[Echo_transfer_ds]]+Calculate[[#This Row],[Tx_PSD_us]]</f>
        <v>-107.93262850192147</v>
      </c>
      <c r="L145" s="2">
        <f t="shared" si="20"/>
        <v>-140</v>
      </c>
      <c r="M145" s="2">
        <f t="shared" si="21"/>
        <v>-140</v>
      </c>
      <c r="N145" s="2">
        <f t="shared" si="22"/>
        <v>5</v>
      </c>
      <c r="O145" s="2">
        <f t="shared" si="23"/>
        <v>5</v>
      </c>
      <c r="P145" s="2">
        <f>10*LOG10((10^(Calculate[[#This Row],[Rx_echo_us]]/10))-(10^((Masks[[#This Row],[connector_echo]]+Calculate[[#This Row],[Tx_PSD_ds]])/10))*EC_conector_ratio_us)-Calculate[[#This Row],[EC_cancelation_us]]</f>
        <v>-143.47032539790746</v>
      </c>
      <c r="Q145" s="2">
        <f>10*LOG10((10^(Calculate[[#This Row],[Rx_echo_ds]]/10))-(10^((Masks[[#This Row],[connector_echo]]+Calculate[[#This Row],[Tx_PSD_us]])/10))*EC_conector_ratio_ds)-Calculate[[#This Row],[EC_cancelation_ds]]</f>
        <v>-143.47032539790746</v>
      </c>
      <c r="R145" s="2">
        <f>10*LOG10(POWER(10,Calculate[[#This Row],[AFE_noise_us]]/10)+POWER(10,Calculate[[#This Row],[Echo_res_us]]/10))</f>
        <v>-138.38708034075438</v>
      </c>
      <c r="S145" s="2">
        <f>10*LOG10(POWER(10,Calculate[[#This Row],[AFE_noise_ds]]/10)+POWER(10,Calculate[[#This Row],[Echo_res_ds]]/10))</f>
        <v>-138.38708034075438</v>
      </c>
      <c r="T145" s="2">
        <f>Calculate[[#This Row],[Rx_PSD_us]]-Calculate[[#This Row],[Noise_us]]</f>
        <v>14.589403273626118</v>
      </c>
      <c r="U145" s="2">
        <f>Calculate[[#This Row],[Rx_PSD_ds]]-Calculate[[#This Row],[Noise_ds]]</f>
        <v>14.589403273626118</v>
      </c>
      <c r="V145" s="2">
        <f>POWER(10,Calculate[[#This Row],[SNRdB_us]]/10)</f>
        <v>28.77003083540178</v>
      </c>
      <c r="W145" s="2">
        <f>POWER(10,Calculate[[#This Row],[SNRdB_ds]]/10)</f>
        <v>28.77003083540178</v>
      </c>
      <c r="X145" s="2">
        <f>-(0.002*Calculate[[#This Row],[Freq]]/1000000/2.5+0.68*(Calculate[[#This Row],[Freq]]/1000000/2.5)^0.45)</f>
        <v>-28.553243910929666</v>
      </c>
    </row>
    <row r="146" spans="1:24" x14ac:dyDescent="0.25">
      <c r="A146" s="34">
        <f t="shared" si="24"/>
        <v>6525000000</v>
      </c>
      <c r="B146" s="1">
        <f>Calculate[[#This Row],[Freq]]-A145</f>
        <v>45000000</v>
      </c>
      <c r="C146">
        <f>Channels!B146*cable_length</f>
        <v>-25.437997211764706</v>
      </c>
      <c r="D146" s="2">
        <f>Masks!A146</f>
        <v>-98.470325397914564</v>
      </c>
      <c r="E146" s="2">
        <f>Masks!B146</f>
        <v>-98.470325397914564</v>
      </c>
      <c r="F146" s="2">
        <f>Calculate[[#This Row],[Tx_PSD_us]]+Calculate[[#This Row],[IL]]</f>
        <v>-123.90832260967927</v>
      </c>
      <c r="G146" s="2">
        <f>Calculate[[#This Row],[Tx_PSD_ds]]+Calculate[[#This Row],[IL]]</f>
        <v>-123.90832260967927</v>
      </c>
      <c r="H146" s="2">
        <f>Masks[[#This Row],[channel_echo]]</f>
        <v>-9.4330472726334964</v>
      </c>
      <c r="I146" s="2">
        <f>Masks[[#This Row],[channel_echo]]</f>
        <v>-9.4330472726334964</v>
      </c>
      <c r="J146" s="2">
        <f>Calculate[[#This Row],[Echo_transfer_us]]+Calculate[[#This Row],[Tx_PSD_ds]]</f>
        <v>-107.90337267054807</v>
      </c>
      <c r="K146" s="2">
        <f>Calculate[[#This Row],[Echo_transfer_ds]]+Calculate[[#This Row],[Tx_PSD_us]]</f>
        <v>-107.90337267054807</v>
      </c>
      <c r="L146" s="2">
        <f t="shared" si="20"/>
        <v>-140</v>
      </c>
      <c r="M146" s="2">
        <f t="shared" si="21"/>
        <v>-140</v>
      </c>
      <c r="N146" s="2">
        <f t="shared" si="22"/>
        <v>5</v>
      </c>
      <c r="O146" s="2">
        <f t="shared" si="23"/>
        <v>5</v>
      </c>
      <c r="P146" s="2">
        <f>10*LOG10((10^(Calculate[[#This Row],[Rx_echo_us]]/10))-(10^((Masks[[#This Row],[connector_echo]]+Calculate[[#This Row],[Tx_PSD_ds]])/10))*EC_conector_ratio_us)-Calculate[[#This Row],[EC_cancelation_us]]</f>
        <v>-143.47032539790646</v>
      </c>
      <c r="Q146" s="2">
        <f>10*LOG10((10^(Calculate[[#This Row],[Rx_echo_ds]]/10))-(10^((Masks[[#This Row],[connector_echo]]+Calculate[[#This Row],[Tx_PSD_us]])/10))*EC_conector_ratio_ds)-Calculate[[#This Row],[EC_cancelation_ds]]</f>
        <v>-143.47032539790646</v>
      </c>
      <c r="R146" s="2">
        <f>10*LOG10(POWER(10,Calculate[[#This Row],[AFE_noise_us]]/10)+POWER(10,Calculate[[#This Row],[Echo_res_us]]/10))</f>
        <v>-138.38708034075407</v>
      </c>
      <c r="S146" s="2">
        <f>10*LOG10(POWER(10,Calculate[[#This Row],[AFE_noise_ds]]/10)+POWER(10,Calculate[[#This Row],[Echo_res_ds]]/10))</f>
        <v>-138.38708034075407</v>
      </c>
      <c r="T146" s="2">
        <f>Calculate[[#This Row],[Rx_PSD_us]]-Calculate[[#This Row],[Noise_us]]</f>
        <v>14.478757731074793</v>
      </c>
      <c r="U146" s="2">
        <f>Calculate[[#This Row],[Rx_PSD_ds]]-Calculate[[#This Row],[Noise_ds]]</f>
        <v>14.478757731074793</v>
      </c>
      <c r="V146" s="2">
        <f>POWER(10,Calculate[[#This Row],[SNRdB_us]]/10)</f>
        <v>28.046312780834153</v>
      </c>
      <c r="W146" s="2">
        <f>POWER(10,Calculate[[#This Row],[SNRdB_ds]]/10)</f>
        <v>28.046312780834153</v>
      </c>
      <c r="X146" s="2">
        <f>-(0.002*Calculate[[#This Row],[Freq]]/1000000/2.5+0.68*(Calculate[[#This Row],[Freq]]/1000000/2.5)^0.45)</f>
        <v>-28.662133831452955</v>
      </c>
    </row>
    <row r="147" spans="1:24" x14ac:dyDescent="0.25">
      <c r="A147" s="34">
        <f t="shared" si="24"/>
        <v>6570000000</v>
      </c>
      <c r="B147" s="1">
        <f>Calculate[[#This Row],[Freq]]-A146</f>
        <v>45000000</v>
      </c>
      <c r="C147">
        <f>Channels!B147*cable_length</f>
        <v>-25.548418953723271</v>
      </c>
      <c r="D147" s="2">
        <f>Masks!A147</f>
        <v>-98.470325397914564</v>
      </c>
      <c r="E147" s="2">
        <f>Masks!B147</f>
        <v>-98.470325397914564</v>
      </c>
      <c r="F147" s="2">
        <f>Calculate[[#This Row],[Tx_PSD_us]]+Calculate[[#This Row],[IL]]</f>
        <v>-124.01874435163784</v>
      </c>
      <c r="G147" s="2">
        <f>Calculate[[#This Row],[Tx_PSD_ds]]+Calculate[[#This Row],[IL]]</f>
        <v>-124.01874435163784</v>
      </c>
      <c r="H147" s="2">
        <f>Masks[[#This Row],[channel_echo]]</f>
        <v>-9.4039872023724609</v>
      </c>
      <c r="I147" s="2">
        <f>Masks[[#This Row],[channel_echo]]</f>
        <v>-9.4039872023724609</v>
      </c>
      <c r="J147" s="2">
        <f>Calculate[[#This Row],[Echo_transfer_us]]+Calculate[[#This Row],[Tx_PSD_ds]]</f>
        <v>-107.87431260028703</v>
      </c>
      <c r="K147" s="2">
        <f>Calculate[[#This Row],[Echo_transfer_ds]]+Calculate[[#This Row],[Tx_PSD_us]]</f>
        <v>-107.87431260028703</v>
      </c>
      <c r="L147" s="2">
        <f t="shared" si="20"/>
        <v>-140</v>
      </c>
      <c r="M147" s="2">
        <f t="shared" si="21"/>
        <v>-140</v>
      </c>
      <c r="N147" s="2">
        <f t="shared" si="22"/>
        <v>5</v>
      </c>
      <c r="O147" s="2">
        <f t="shared" si="23"/>
        <v>5</v>
      </c>
      <c r="P147" s="2">
        <f>10*LOG10((10^(Calculate[[#This Row],[Rx_echo_us]]/10))-(10^((Masks[[#This Row],[connector_echo]]+Calculate[[#This Row],[Tx_PSD_ds]])/10))*EC_conector_ratio_us)-Calculate[[#This Row],[EC_cancelation_us]]</f>
        <v>-143.47032539791041</v>
      </c>
      <c r="Q147" s="2">
        <f>10*LOG10((10^(Calculate[[#This Row],[Rx_echo_ds]]/10))-(10^((Masks[[#This Row],[connector_echo]]+Calculate[[#This Row],[Tx_PSD_us]])/10))*EC_conector_ratio_ds)-Calculate[[#This Row],[EC_cancelation_ds]]</f>
        <v>-143.47032539791041</v>
      </c>
      <c r="R147" s="2">
        <f>10*LOG10(POWER(10,Calculate[[#This Row],[AFE_noise_us]]/10)+POWER(10,Calculate[[#This Row],[Echo_res_us]]/10))</f>
        <v>-138.38708034075529</v>
      </c>
      <c r="S147" s="2">
        <f>10*LOG10(POWER(10,Calculate[[#This Row],[AFE_noise_ds]]/10)+POWER(10,Calculate[[#This Row],[Echo_res_ds]]/10))</f>
        <v>-138.38708034075529</v>
      </c>
      <c r="T147" s="2">
        <f>Calculate[[#This Row],[Rx_PSD_us]]-Calculate[[#This Row],[Noise_us]]</f>
        <v>14.368335989117455</v>
      </c>
      <c r="U147" s="2">
        <f>Calculate[[#This Row],[Rx_PSD_ds]]-Calculate[[#This Row],[Noise_ds]]</f>
        <v>14.368335989117455</v>
      </c>
      <c r="V147" s="2">
        <f>POWER(10,Calculate[[#This Row],[SNRdB_us]]/10)</f>
        <v>27.342209015552331</v>
      </c>
      <c r="W147" s="2">
        <f>POWER(10,Calculate[[#This Row],[SNRdB_ds]]/10)</f>
        <v>27.342209015552331</v>
      </c>
      <c r="X147" s="2">
        <f>-(0.002*Calculate[[#This Row],[Freq]]/1000000/2.5+0.68*(Calculate[[#This Row],[Freq]]/1000000/2.5)^0.45)</f>
        <v>-28.770747793877895</v>
      </c>
    </row>
    <row r="148" spans="1:24" x14ac:dyDescent="0.25">
      <c r="A148" s="34">
        <f t="shared" si="24"/>
        <v>6615000000</v>
      </c>
      <c r="B148" s="1">
        <f>Calculate[[#This Row],[Freq]]-A147</f>
        <v>45000000</v>
      </c>
      <c r="C148">
        <f>Channels!B148*cable_length</f>
        <v>-25.658619190513797</v>
      </c>
      <c r="D148" s="2">
        <f>Masks!A148</f>
        <v>-98.470325397914564</v>
      </c>
      <c r="E148" s="2">
        <f>Masks!B148</f>
        <v>-98.470325397914564</v>
      </c>
      <c r="F148" s="2">
        <f>Calculate[[#This Row],[Tx_PSD_us]]+Calculate[[#This Row],[IL]]</f>
        <v>-124.12894458842837</v>
      </c>
      <c r="G148" s="2">
        <f>Calculate[[#This Row],[Tx_PSD_ds]]+Calculate[[#This Row],[IL]]</f>
        <v>-124.12894458842837</v>
      </c>
      <c r="H148" s="2">
        <f>Masks[[#This Row],[channel_echo]]</f>
        <v>-9.3751202908141593</v>
      </c>
      <c r="I148" s="2">
        <f>Masks[[#This Row],[channel_echo]]</f>
        <v>-9.3751202908141593</v>
      </c>
      <c r="J148" s="2">
        <f>Calculate[[#This Row],[Echo_transfer_us]]+Calculate[[#This Row],[Tx_PSD_ds]]</f>
        <v>-107.84544568872872</v>
      </c>
      <c r="K148" s="2">
        <f>Calculate[[#This Row],[Echo_transfer_ds]]+Calculate[[#This Row],[Tx_PSD_us]]</f>
        <v>-107.84544568872872</v>
      </c>
      <c r="L148" s="2">
        <f t="shared" si="20"/>
        <v>-140</v>
      </c>
      <c r="M148" s="2">
        <f t="shared" si="21"/>
        <v>-140</v>
      </c>
      <c r="N148" s="2">
        <f t="shared" si="22"/>
        <v>5</v>
      </c>
      <c r="O148" s="2">
        <f t="shared" si="23"/>
        <v>5</v>
      </c>
      <c r="P148" s="2">
        <f>10*LOG10((10^(Calculate[[#This Row],[Rx_echo_us]]/10))-(10^((Masks[[#This Row],[connector_echo]]+Calculate[[#This Row],[Tx_PSD_ds]])/10))*EC_conector_ratio_us)-Calculate[[#This Row],[EC_cancelation_us]]</f>
        <v>-143.4703253979124</v>
      </c>
      <c r="Q148" s="2">
        <f>10*LOG10((10^(Calculate[[#This Row],[Rx_echo_ds]]/10))-(10^((Masks[[#This Row],[connector_echo]]+Calculate[[#This Row],[Tx_PSD_us]])/10))*EC_conector_ratio_ds)-Calculate[[#This Row],[EC_cancelation_ds]]</f>
        <v>-143.4703253979124</v>
      </c>
      <c r="R148" s="2">
        <f>10*LOG10(POWER(10,Calculate[[#This Row],[AFE_noise_us]]/10)+POWER(10,Calculate[[#This Row],[Echo_res_us]]/10))</f>
        <v>-138.38708034075592</v>
      </c>
      <c r="S148" s="2">
        <f>10*LOG10(POWER(10,Calculate[[#This Row],[AFE_noise_ds]]/10)+POWER(10,Calculate[[#This Row],[Echo_res_ds]]/10))</f>
        <v>-138.38708034075592</v>
      </c>
      <c r="T148" s="2">
        <f>Calculate[[#This Row],[Rx_PSD_us]]-Calculate[[#This Row],[Noise_us]]</f>
        <v>14.258135752327547</v>
      </c>
      <c r="U148" s="2">
        <f>Calculate[[#This Row],[Rx_PSD_ds]]-Calculate[[#This Row],[Noise_ds]]</f>
        <v>14.258135752327547</v>
      </c>
      <c r="V148" s="2">
        <f>POWER(10,Calculate[[#This Row],[SNRdB_us]]/10)</f>
        <v>26.657141373980931</v>
      </c>
      <c r="W148" s="2">
        <f>POWER(10,Calculate[[#This Row],[SNRdB_ds]]/10)</f>
        <v>26.657141373980931</v>
      </c>
      <c r="X148" s="2">
        <f>-(0.002*Calculate[[#This Row],[Freq]]/1000000/2.5+0.68*(Calculate[[#This Row],[Freq]]/1000000/2.5)^0.45)</f>
        <v>-28.879088722431085</v>
      </c>
    </row>
    <row r="149" spans="1:24" x14ac:dyDescent="0.25">
      <c r="A149" s="34">
        <f t="shared" si="24"/>
        <v>6660000000</v>
      </c>
      <c r="B149" s="1">
        <f>Calculate[[#This Row],[Freq]]-A148</f>
        <v>45000000</v>
      </c>
      <c r="C149">
        <f>Channels!B149*cable_length</f>
        <v>-25.768600178588343</v>
      </c>
      <c r="D149" s="2">
        <f>Masks!A149</f>
        <v>-98.470325397914564</v>
      </c>
      <c r="E149" s="2">
        <f>Masks!B149</f>
        <v>-98.470325397914564</v>
      </c>
      <c r="F149" s="2">
        <f>Calculate[[#This Row],[Tx_PSD_us]]+Calculate[[#This Row],[IL]]</f>
        <v>-124.23892557650291</v>
      </c>
      <c r="G149" s="2">
        <f>Calculate[[#This Row],[Tx_PSD_ds]]+Calculate[[#This Row],[IL]]</f>
        <v>-124.23892557650291</v>
      </c>
      <c r="H149" s="2">
        <f>Masks[[#This Row],[channel_echo]]</f>
        <v>-9.3464439871003488</v>
      </c>
      <c r="I149" s="2">
        <f>Masks[[#This Row],[channel_echo]]</f>
        <v>-9.3464439871003488</v>
      </c>
      <c r="J149" s="2">
        <f>Calculate[[#This Row],[Echo_transfer_us]]+Calculate[[#This Row],[Tx_PSD_ds]]</f>
        <v>-107.81676938501491</v>
      </c>
      <c r="K149" s="2">
        <f>Calculate[[#This Row],[Echo_transfer_ds]]+Calculate[[#This Row],[Tx_PSD_us]]</f>
        <v>-107.81676938501491</v>
      </c>
      <c r="L149" s="2">
        <f t="shared" si="20"/>
        <v>-140</v>
      </c>
      <c r="M149" s="2">
        <f t="shared" si="21"/>
        <v>-140</v>
      </c>
      <c r="N149" s="2">
        <f t="shared" si="22"/>
        <v>5</v>
      </c>
      <c r="O149" s="2">
        <f t="shared" si="23"/>
        <v>5</v>
      </c>
      <c r="P149" s="2">
        <f>10*LOG10((10^(Calculate[[#This Row],[Rx_echo_us]]/10))-(10^((Masks[[#This Row],[connector_echo]]+Calculate[[#This Row],[Tx_PSD_ds]])/10))*EC_conector_ratio_us)-Calculate[[#This Row],[EC_cancelation_us]]</f>
        <v>-143.47032539790843</v>
      </c>
      <c r="Q149" s="2">
        <f>10*LOG10((10^(Calculate[[#This Row],[Rx_echo_ds]]/10))-(10^((Masks[[#This Row],[connector_echo]]+Calculate[[#This Row],[Tx_PSD_us]])/10))*EC_conector_ratio_ds)-Calculate[[#This Row],[EC_cancelation_ds]]</f>
        <v>-143.47032539790843</v>
      </c>
      <c r="R149" s="2">
        <f>10*LOG10(POWER(10,Calculate[[#This Row],[AFE_noise_us]]/10)+POWER(10,Calculate[[#This Row],[Echo_res_us]]/10))</f>
        <v>-138.38708034075469</v>
      </c>
      <c r="S149" s="2">
        <f>10*LOG10(POWER(10,Calculate[[#This Row],[AFE_noise_ds]]/10)+POWER(10,Calculate[[#This Row],[Echo_res_ds]]/10))</f>
        <v>-138.38708034075469</v>
      </c>
      <c r="T149" s="2">
        <f>Calculate[[#This Row],[Rx_PSD_us]]-Calculate[[#This Row],[Noise_us]]</f>
        <v>14.148154764251785</v>
      </c>
      <c r="U149" s="2">
        <f>Calculate[[#This Row],[Rx_PSD_ds]]-Calculate[[#This Row],[Noise_ds]]</f>
        <v>14.148154764251785</v>
      </c>
      <c r="V149" s="2">
        <f>POWER(10,Calculate[[#This Row],[SNRdB_us]]/10)</f>
        <v>25.990550388273324</v>
      </c>
      <c r="W149" s="2">
        <f>POWER(10,Calculate[[#This Row],[SNRdB_ds]]/10)</f>
        <v>25.990550388273324</v>
      </c>
      <c r="X149" s="2">
        <f>-(0.002*Calculate[[#This Row],[Freq]]/1000000/2.5+0.68*(Calculate[[#This Row],[Freq]]/1000000/2.5)^0.45)</f>
        <v>-28.987159490706428</v>
      </c>
    </row>
    <row r="150" spans="1:24" x14ac:dyDescent="0.25">
      <c r="A150" s="34">
        <f t="shared" si="24"/>
        <v>6705000000</v>
      </c>
      <c r="B150" s="1">
        <f>Calculate[[#This Row],[Freq]]-A149</f>
        <v>45000000</v>
      </c>
      <c r="C150">
        <f>Channels!B150*cable_length</f>
        <v>-25.878364136346736</v>
      </c>
      <c r="D150" s="2">
        <f>Masks!A150</f>
        <v>-98.470325397914564</v>
      </c>
      <c r="E150" s="2">
        <f>Masks!B150</f>
        <v>-98.470325397914564</v>
      </c>
      <c r="F150" s="2">
        <f>Calculate[[#This Row],[Tx_PSD_us]]+Calculate[[#This Row],[IL]]</f>
        <v>-124.3486895342613</v>
      </c>
      <c r="G150" s="2">
        <f>Calculate[[#This Row],[Tx_PSD_ds]]+Calculate[[#This Row],[IL]]</f>
        <v>-124.3486895342613</v>
      </c>
      <c r="H150" s="2">
        <f>Masks[[#This Row],[channel_echo]]</f>
        <v>-9.317955790571558</v>
      </c>
      <c r="I150" s="2">
        <f>Masks[[#This Row],[channel_echo]]</f>
        <v>-9.317955790571558</v>
      </c>
      <c r="J150" s="2">
        <f>Calculate[[#This Row],[Echo_transfer_us]]+Calculate[[#This Row],[Tx_PSD_ds]]</f>
        <v>-107.78828118848612</v>
      </c>
      <c r="K150" s="2">
        <f>Calculate[[#This Row],[Echo_transfer_ds]]+Calculate[[#This Row],[Tx_PSD_us]]</f>
        <v>-107.78828118848612</v>
      </c>
      <c r="L150" s="2">
        <f t="shared" si="20"/>
        <v>-140</v>
      </c>
      <c r="M150" s="2">
        <f t="shared" si="21"/>
        <v>-140</v>
      </c>
      <c r="N150" s="2">
        <f t="shared" si="22"/>
        <v>5</v>
      </c>
      <c r="O150" s="2">
        <f t="shared" si="23"/>
        <v>5</v>
      </c>
      <c r="P150" s="2">
        <f>10*LOG10((10^(Calculate[[#This Row],[Rx_echo_us]]/10))-(10^((Masks[[#This Row],[connector_echo]]+Calculate[[#This Row],[Tx_PSD_ds]])/10))*EC_conector_ratio_us)-Calculate[[#This Row],[EC_cancelation_us]]</f>
        <v>-143.47032539789561</v>
      </c>
      <c r="Q150" s="2">
        <f>10*LOG10((10^(Calculate[[#This Row],[Rx_echo_ds]]/10))-(10^((Masks[[#This Row],[connector_echo]]+Calculate[[#This Row],[Tx_PSD_us]])/10))*EC_conector_ratio_ds)-Calculate[[#This Row],[EC_cancelation_ds]]</f>
        <v>-143.47032539789561</v>
      </c>
      <c r="R150" s="2">
        <f>10*LOG10(POWER(10,Calculate[[#This Row],[AFE_noise_us]]/10)+POWER(10,Calculate[[#This Row],[Echo_res_us]]/10))</f>
        <v>-138.38708034075071</v>
      </c>
      <c r="S150" s="2">
        <f>10*LOG10(POWER(10,Calculate[[#This Row],[AFE_noise_ds]]/10)+POWER(10,Calculate[[#This Row],[Echo_res_ds]]/10))</f>
        <v>-138.38708034075071</v>
      </c>
      <c r="T150" s="2">
        <f>Calculate[[#This Row],[Rx_PSD_us]]-Calculate[[#This Row],[Noise_us]]</f>
        <v>14.038390806489417</v>
      </c>
      <c r="U150" s="2">
        <f>Calculate[[#This Row],[Rx_PSD_ds]]-Calculate[[#This Row],[Noise_ds]]</f>
        <v>14.038390806489417</v>
      </c>
      <c r="V150" s="2">
        <f>POWER(10,Calculate[[#This Row],[SNRdB_us]]/10)</f>
        <v>25.341894620276477</v>
      </c>
      <c r="W150" s="2">
        <f>POWER(10,Calculate[[#This Row],[SNRdB_ds]]/10)</f>
        <v>25.341894620276477</v>
      </c>
      <c r="X150" s="2">
        <f>-(0.002*Calculate[[#This Row],[Freq]]/1000000/2.5+0.68*(Calculate[[#This Row],[Freq]]/1000000/2.5)^0.45)</f>
        <v>-29.094962922877478</v>
      </c>
    </row>
    <row r="151" spans="1:24" x14ac:dyDescent="0.25">
      <c r="A151" s="34">
        <f t="shared" si="24"/>
        <v>6750000000</v>
      </c>
      <c r="B151" s="1">
        <f>Calculate[[#This Row],[Freq]]-A150</f>
        <v>45000000</v>
      </c>
      <c r="C151">
        <f>Channels!B151*cable_length</f>
        <v>-25.987913245028935</v>
      </c>
      <c r="D151" s="2">
        <f>Masks!A151</f>
        <v>-98.470325397914564</v>
      </c>
      <c r="E151" s="2">
        <f>Masks!B151</f>
        <v>-98.470325397914564</v>
      </c>
      <c r="F151" s="2">
        <f>Calculate[[#This Row],[Tx_PSD_us]]+Calculate[[#This Row],[IL]]</f>
        <v>-124.4582386429435</v>
      </c>
      <c r="G151" s="2">
        <f>Calculate[[#This Row],[Tx_PSD_ds]]+Calculate[[#This Row],[IL]]</f>
        <v>-124.4582386429435</v>
      </c>
      <c r="H151" s="2">
        <f>Masks[[#This Row],[channel_echo]]</f>
        <v>-9.2896532494584836</v>
      </c>
      <c r="I151" s="2">
        <f>Masks[[#This Row],[channel_echo]]</f>
        <v>-9.2896532494584836</v>
      </c>
      <c r="J151" s="2">
        <f>Calculate[[#This Row],[Echo_transfer_us]]+Calculate[[#This Row],[Tx_PSD_ds]]</f>
        <v>-107.75997864737305</v>
      </c>
      <c r="K151" s="2">
        <f>Calculate[[#This Row],[Echo_transfer_ds]]+Calculate[[#This Row],[Tx_PSD_us]]</f>
        <v>-107.75997864737305</v>
      </c>
      <c r="L151" s="2">
        <f t="shared" si="20"/>
        <v>-140</v>
      </c>
      <c r="M151" s="2">
        <f t="shared" si="21"/>
        <v>-140</v>
      </c>
      <c r="N151" s="2">
        <f t="shared" si="22"/>
        <v>5</v>
      </c>
      <c r="O151" s="2">
        <f t="shared" si="23"/>
        <v>5</v>
      </c>
      <c r="P151" s="2">
        <f>10*LOG10((10^(Calculate[[#This Row],[Rx_echo_us]]/10))-(10^((Masks[[#This Row],[connector_echo]]+Calculate[[#This Row],[Tx_PSD_ds]])/10))*EC_conector_ratio_us)-Calculate[[#This Row],[EC_cancelation_us]]</f>
        <v>-143.47032539791041</v>
      </c>
      <c r="Q151" s="2">
        <f>10*LOG10((10^(Calculate[[#This Row],[Rx_echo_ds]]/10))-(10^((Masks[[#This Row],[connector_echo]]+Calculate[[#This Row],[Tx_PSD_us]])/10))*EC_conector_ratio_ds)-Calculate[[#This Row],[EC_cancelation_ds]]</f>
        <v>-143.47032539791041</v>
      </c>
      <c r="R151" s="2">
        <f>10*LOG10(POWER(10,Calculate[[#This Row],[AFE_noise_us]]/10)+POWER(10,Calculate[[#This Row],[Echo_res_us]]/10))</f>
        <v>-138.38708034075529</v>
      </c>
      <c r="S151" s="2">
        <f>10*LOG10(POWER(10,Calculate[[#This Row],[AFE_noise_ds]]/10)+POWER(10,Calculate[[#This Row],[Echo_res_ds]]/10))</f>
        <v>-138.38708034075529</v>
      </c>
      <c r="T151" s="2">
        <f>Calculate[[#This Row],[Rx_PSD_us]]-Calculate[[#This Row],[Noise_us]]</f>
        <v>13.928841697811791</v>
      </c>
      <c r="U151" s="2">
        <f>Calculate[[#This Row],[Rx_PSD_ds]]-Calculate[[#This Row],[Noise_ds]]</f>
        <v>13.928841697811791</v>
      </c>
      <c r="V151" s="2">
        <f>POWER(10,Calculate[[#This Row],[SNRdB_us]]/10)</f>
        <v>24.710650020049393</v>
      </c>
      <c r="W151" s="2">
        <f>POWER(10,Calculate[[#This Row],[SNRdB_ds]]/10)</f>
        <v>24.710650020049393</v>
      </c>
      <c r="X151" s="2">
        <f>-(0.002*Calculate[[#This Row],[Freq]]/1000000/2.5+0.68*(Calculate[[#This Row],[Freq]]/1000000/2.5)^0.45)</f>
        <v>-29.202501794872688</v>
      </c>
    </row>
    <row r="152" spans="1:24" x14ac:dyDescent="0.25">
      <c r="A152" s="34">
        <f t="shared" si="24"/>
        <v>6795000000</v>
      </c>
      <c r="B152" s="1">
        <f>Calculate[[#This Row],[Freq]]-A151</f>
        <v>45000000</v>
      </c>
      <c r="C152">
        <f>Channels!B152*cable_length</f>
        <v>-26.097249649580686</v>
      </c>
      <c r="D152" s="2">
        <f>Masks!A152</f>
        <v>-98.470325397914564</v>
      </c>
      <c r="E152" s="2">
        <f>Masks!B152</f>
        <v>-98.470325397914564</v>
      </c>
      <c r="F152" s="2">
        <f>Calculate[[#This Row],[Tx_PSD_us]]+Calculate[[#This Row],[IL]]</f>
        <v>-124.56757504749525</v>
      </c>
      <c r="G152" s="2">
        <f>Calculate[[#This Row],[Tx_PSD_ds]]+Calculate[[#This Row],[IL]]</f>
        <v>-124.56757504749525</v>
      </c>
      <c r="H152" s="2">
        <f>Masks[[#This Row],[channel_echo]]</f>
        <v>-9.2615339596157806</v>
      </c>
      <c r="I152" s="2">
        <f>Masks[[#This Row],[channel_echo]]</f>
        <v>-9.2615339596157806</v>
      </c>
      <c r="J152" s="2">
        <f>Calculate[[#This Row],[Echo_transfer_us]]+Calculate[[#This Row],[Tx_PSD_ds]]</f>
        <v>-107.73185935753034</v>
      </c>
      <c r="K152" s="2">
        <f>Calculate[[#This Row],[Echo_transfer_ds]]+Calculate[[#This Row],[Tx_PSD_us]]</f>
        <v>-107.73185935753034</v>
      </c>
      <c r="L152" s="2">
        <f t="shared" si="20"/>
        <v>-140</v>
      </c>
      <c r="M152" s="2">
        <f t="shared" si="21"/>
        <v>-140</v>
      </c>
      <c r="N152" s="2">
        <f t="shared" si="22"/>
        <v>5</v>
      </c>
      <c r="O152" s="2">
        <f t="shared" si="23"/>
        <v>5</v>
      </c>
      <c r="P152" s="2">
        <f>10*LOG10((10^(Calculate[[#This Row],[Rx_echo_us]]/10))-(10^((Masks[[#This Row],[connector_echo]]+Calculate[[#This Row],[Tx_PSD_ds]])/10))*EC_conector_ratio_us)-Calculate[[#This Row],[EC_cancelation_us]]</f>
        <v>-143.47032539790843</v>
      </c>
      <c r="Q152" s="2">
        <f>10*LOG10((10^(Calculate[[#This Row],[Rx_echo_ds]]/10))-(10^((Masks[[#This Row],[connector_echo]]+Calculate[[#This Row],[Tx_PSD_us]])/10))*EC_conector_ratio_ds)-Calculate[[#This Row],[EC_cancelation_ds]]</f>
        <v>-143.47032539790843</v>
      </c>
      <c r="R152" s="2">
        <f>10*LOG10(POWER(10,Calculate[[#This Row],[AFE_noise_us]]/10)+POWER(10,Calculate[[#This Row],[Echo_res_us]]/10))</f>
        <v>-138.38708034075469</v>
      </c>
      <c r="S152" s="2">
        <f>10*LOG10(POWER(10,Calculate[[#This Row],[AFE_noise_ds]]/10)+POWER(10,Calculate[[#This Row],[Echo_res_ds]]/10))</f>
        <v>-138.38708034075469</v>
      </c>
      <c r="T152" s="2">
        <f>Calculate[[#This Row],[Rx_PSD_us]]-Calculate[[#This Row],[Noise_us]]</f>
        <v>13.819505293259439</v>
      </c>
      <c r="U152" s="2">
        <f>Calculate[[#This Row],[Rx_PSD_ds]]-Calculate[[#This Row],[Noise_ds]]</f>
        <v>13.819505293259439</v>
      </c>
      <c r="V152" s="2">
        <f>POWER(10,Calculate[[#This Row],[SNRdB_us]]/10)</f>
        <v>24.09630930941373</v>
      </c>
      <c r="W152" s="2">
        <f>POWER(10,Calculate[[#This Row],[SNRdB_ds]]/10)</f>
        <v>24.09630930941373</v>
      </c>
      <c r="X152" s="2">
        <f>-(0.002*Calculate[[#This Row],[Freq]]/1000000/2.5+0.68*(Calculate[[#This Row],[Freq]]/1000000/2.5)^0.45)</f>
        <v>-29.309778835515207</v>
      </c>
    </row>
    <row r="153" spans="1:24" x14ac:dyDescent="0.25">
      <c r="A153" s="34">
        <f t="shared" si="24"/>
        <v>6840000000</v>
      </c>
      <c r="B153" s="1">
        <f>Calculate[[#This Row],[Freq]]-A152</f>
        <v>45000000</v>
      </c>
      <c r="C153">
        <f>Channels!B153*cable_length</f>
        <v>-26.206375459493401</v>
      </c>
      <c r="D153" s="2">
        <f>Masks!A153</f>
        <v>-98.470325397914564</v>
      </c>
      <c r="E153" s="2">
        <f>Masks!B153</f>
        <v>-98.470325397914564</v>
      </c>
      <c r="F153" s="2">
        <f>Calculate[[#This Row],[Tx_PSD_us]]+Calculate[[#This Row],[IL]]</f>
        <v>-124.67670085740797</v>
      </c>
      <c r="G153" s="2">
        <f>Calculate[[#This Row],[Tx_PSD_ds]]+Calculate[[#This Row],[IL]]</f>
        <v>-124.67670085740797</v>
      </c>
      <c r="H153" s="2">
        <f>Masks[[#This Row],[channel_echo]]</f>
        <v>-9.233595563296582</v>
      </c>
      <c r="I153" s="2">
        <f>Masks[[#This Row],[channel_echo]]</f>
        <v>-9.233595563296582</v>
      </c>
      <c r="J153" s="2">
        <f>Calculate[[#This Row],[Echo_transfer_us]]+Calculate[[#This Row],[Tx_PSD_ds]]</f>
        <v>-107.70392096121114</v>
      </c>
      <c r="K153" s="2">
        <f>Calculate[[#This Row],[Echo_transfer_ds]]+Calculate[[#This Row],[Tx_PSD_us]]</f>
        <v>-107.70392096121114</v>
      </c>
      <c r="L153" s="2">
        <f t="shared" si="20"/>
        <v>-140</v>
      </c>
      <c r="M153" s="2">
        <f t="shared" si="21"/>
        <v>-140</v>
      </c>
      <c r="N153" s="2">
        <f t="shared" si="22"/>
        <v>5</v>
      </c>
      <c r="O153" s="2">
        <f t="shared" si="23"/>
        <v>5</v>
      </c>
      <c r="P153" s="2">
        <f>10*LOG10((10^(Calculate[[#This Row],[Rx_echo_us]]/10))-(10^((Masks[[#This Row],[connector_echo]]+Calculate[[#This Row],[Tx_PSD_ds]])/10))*EC_conector_ratio_us)-Calculate[[#This Row],[EC_cancelation_us]]</f>
        <v>-143.47032539791732</v>
      </c>
      <c r="Q153" s="2">
        <f>10*LOG10((10^(Calculate[[#This Row],[Rx_echo_ds]]/10))-(10^((Masks[[#This Row],[connector_echo]]+Calculate[[#This Row],[Tx_PSD_us]])/10))*EC_conector_ratio_ds)-Calculate[[#This Row],[EC_cancelation_ds]]</f>
        <v>-143.47032539791732</v>
      </c>
      <c r="R153" s="2">
        <f>10*LOG10(POWER(10,Calculate[[#This Row],[AFE_noise_us]]/10)+POWER(10,Calculate[[#This Row],[Echo_res_us]]/10))</f>
        <v>-138.38708034075745</v>
      </c>
      <c r="S153" s="2">
        <f>10*LOG10(POWER(10,Calculate[[#This Row],[AFE_noise_ds]]/10)+POWER(10,Calculate[[#This Row],[Echo_res_ds]]/10))</f>
        <v>-138.38708034075745</v>
      </c>
      <c r="T153" s="2">
        <f>Calculate[[#This Row],[Rx_PSD_us]]-Calculate[[#This Row],[Noise_us]]</f>
        <v>13.710379483349485</v>
      </c>
      <c r="U153" s="2">
        <f>Calculate[[#This Row],[Rx_PSD_ds]]-Calculate[[#This Row],[Noise_ds]]</f>
        <v>13.710379483349485</v>
      </c>
      <c r="V153" s="2">
        <f>POWER(10,Calculate[[#This Row],[SNRdB_us]]/10)</f>
        <v>23.498381390199434</v>
      </c>
      <c r="W153" s="2">
        <f>POWER(10,Calculate[[#This Row],[SNRdB_ds]]/10)</f>
        <v>23.498381390199434</v>
      </c>
      <c r="X153" s="2">
        <f>-(0.002*Calculate[[#This Row],[Freq]]/1000000/2.5+0.68*(Calculate[[#This Row],[Freq]]/1000000/2.5)^0.45)</f>
        <v>-29.416796727628281</v>
      </c>
    </row>
    <row r="154" spans="1:24" x14ac:dyDescent="0.25">
      <c r="A154" s="34">
        <f t="shared" si="24"/>
        <v>6885000000</v>
      </c>
      <c r="B154" s="1">
        <f>Calculate[[#This Row],[Freq]]-A153</f>
        <v>45000000</v>
      </c>
      <c r="C154">
        <f>Channels!B154*cable_length</f>
        <v>-26.315292749619225</v>
      </c>
      <c r="D154" s="2">
        <f>Masks!A154</f>
        <v>-98.470325397914564</v>
      </c>
      <c r="E154" s="2">
        <f>Masks!B154</f>
        <v>-98.470325397914564</v>
      </c>
      <c r="F154" s="2">
        <f>Calculate[[#This Row],[Tx_PSD_us]]+Calculate[[#This Row],[IL]]</f>
        <v>-124.7856181475338</v>
      </c>
      <c r="G154" s="2">
        <f>Calculate[[#This Row],[Tx_PSD_ds]]+Calculate[[#This Row],[IL]]</f>
        <v>-124.7856181475338</v>
      </c>
      <c r="H154" s="2">
        <f>Masks[[#This Row],[channel_echo]]</f>
        <v>-9.2058357479661694</v>
      </c>
      <c r="I154" s="2">
        <f>Masks[[#This Row],[channel_echo]]</f>
        <v>-9.2058357479661694</v>
      </c>
      <c r="J154" s="2">
        <f>Calculate[[#This Row],[Echo_transfer_us]]+Calculate[[#This Row],[Tx_PSD_ds]]</f>
        <v>-107.67616114588074</v>
      </c>
      <c r="K154" s="2">
        <f>Calculate[[#This Row],[Echo_transfer_ds]]+Calculate[[#This Row],[Tx_PSD_us]]</f>
        <v>-107.67616114588074</v>
      </c>
      <c r="L154" s="2">
        <f t="shared" si="20"/>
        <v>-140</v>
      </c>
      <c r="M154" s="2">
        <f t="shared" si="21"/>
        <v>-140</v>
      </c>
      <c r="N154" s="2">
        <f t="shared" si="22"/>
        <v>5</v>
      </c>
      <c r="O154" s="2">
        <f t="shared" si="23"/>
        <v>5</v>
      </c>
      <c r="P154" s="2">
        <f>10*LOG10((10^(Calculate[[#This Row],[Rx_echo_us]]/10))-(10^((Masks[[#This Row],[connector_echo]]+Calculate[[#This Row],[Tx_PSD_ds]])/10))*EC_conector_ratio_us)-Calculate[[#This Row],[EC_cancelation_us]]</f>
        <v>-143.47032539793014</v>
      </c>
      <c r="Q154" s="2">
        <f>10*LOG10((10^(Calculate[[#This Row],[Rx_echo_ds]]/10))-(10^((Masks[[#This Row],[connector_echo]]+Calculate[[#This Row],[Tx_PSD_us]])/10))*EC_conector_ratio_ds)-Calculate[[#This Row],[EC_cancelation_ds]]</f>
        <v>-143.47032539793014</v>
      </c>
      <c r="R154" s="2">
        <f>10*LOG10(POWER(10,Calculate[[#This Row],[AFE_noise_us]]/10)+POWER(10,Calculate[[#This Row],[Echo_res_us]]/10))</f>
        <v>-138.38708034076143</v>
      </c>
      <c r="S154" s="2">
        <f>10*LOG10(POWER(10,Calculate[[#This Row],[AFE_noise_ds]]/10)+POWER(10,Calculate[[#This Row],[Echo_res_ds]]/10))</f>
        <v>-138.38708034076143</v>
      </c>
      <c r="T154" s="2">
        <f>Calculate[[#This Row],[Rx_PSD_us]]-Calculate[[#This Row],[Noise_us]]</f>
        <v>13.601462193227633</v>
      </c>
      <c r="U154" s="2">
        <f>Calculate[[#This Row],[Rx_PSD_ds]]-Calculate[[#This Row],[Noise_ds]]</f>
        <v>13.601462193227633</v>
      </c>
      <c r="V154" s="2">
        <f>POWER(10,Calculate[[#This Row],[SNRdB_us]]/10)</f>
        <v>22.916390775178591</v>
      </c>
      <c r="W154" s="2">
        <f>POWER(10,Calculate[[#This Row],[SNRdB_ds]]/10)</f>
        <v>22.916390775178591</v>
      </c>
      <c r="X154" s="2">
        <f>-(0.002*Calculate[[#This Row],[Freq]]/1000000/2.5+0.68*(Calculate[[#This Row],[Freq]]/1000000/2.5)^0.45)</f>
        <v>-29.523558109107743</v>
      </c>
    </row>
    <row r="155" spans="1:24" x14ac:dyDescent="0.25">
      <c r="A155" s="34">
        <f t="shared" si="24"/>
        <v>6930000000</v>
      </c>
      <c r="B155" s="1">
        <f>Calculate[[#This Row],[Freq]]-A154</f>
        <v>45000000</v>
      </c>
      <c r="C155">
        <f>Channels!B155*cable_length</f>
        <v>-26.424003560962149</v>
      </c>
      <c r="D155" s="2">
        <f>Masks!A155</f>
        <v>-98.470325397914564</v>
      </c>
      <c r="E155" s="2">
        <f>Masks!B155</f>
        <v>-98.470325397914564</v>
      </c>
      <c r="F155" s="2">
        <f>Calculate[[#This Row],[Tx_PSD_us]]+Calculate[[#This Row],[IL]]</f>
        <v>-124.89432895887671</v>
      </c>
      <c r="G155" s="2">
        <f>Calculate[[#This Row],[Tx_PSD_ds]]+Calculate[[#This Row],[IL]]</f>
        <v>-124.89432895887671</v>
      </c>
      <c r="H155" s="2">
        <f>Masks[[#This Row],[channel_echo]]</f>
        <v>-9.1782522451533382</v>
      </c>
      <c r="I155" s="2">
        <f>Masks[[#This Row],[channel_echo]]</f>
        <v>-9.1782522451533382</v>
      </c>
      <c r="J155" s="2">
        <f>Calculate[[#This Row],[Echo_transfer_us]]+Calculate[[#This Row],[Tx_PSD_ds]]</f>
        <v>-107.64857764306791</v>
      </c>
      <c r="K155" s="2">
        <f>Calculate[[#This Row],[Echo_transfer_ds]]+Calculate[[#This Row],[Tx_PSD_us]]</f>
        <v>-107.64857764306791</v>
      </c>
      <c r="L155" s="2">
        <f t="shared" si="20"/>
        <v>-140</v>
      </c>
      <c r="M155" s="2">
        <f t="shared" si="21"/>
        <v>-140</v>
      </c>
      <c r="N155" s="2">
        <f t="shared" si="22"/>
        <v>5</v>
      </c>
      <c r="O155" s="2">
        <f t="shared" si="23"/>
        <v>5</v>
      </c>
      <c r="P155" s="2">
        <f>10*LOG10((10^(Calculate[[#This Row],[Rx_echo_us]]/10))-(10^((Masks[[#This Row],[connector_echo]]+Calculate[[#This Row],[Tx_PSD_ds]])/10))*EC_conector_ratio_us)-Calculate[[#This Row],[EC_cancelation_us]]</f>
        <v>-143.47032539795876</v>
      </c>
      <c r="Q155" s="2">
        <f>10*LOG10((10^(Calculate[[#This Row],[Rx_echo_ds]]/10))-(10^((Masks[[#This Row],[connector_echo]]+Calculate[[#This Row],[Tx_PSD_us]])/10))*EC_conector_ratio_ds)-Calculate[[#This Row],[EC_cancelation_ds]]</f>
        <v>-143.47032539795876</v>
      </c>
      <c r="R155" s="2">
        <f>10*LOG10(POWER(10,Calculate[[#This Row],[AFE_noise_us]]/10)+POWER(10,Calculate[[#This Row],[Echo_res_us]]/10))</f>
        <v>-138.3870803407703</v>
      </c>
      <c r="S155" s="2">
        <f>10*LOG10(POWER(10,Calculate[[#This Row],[AFE_noise_ds]]/10)+POWER(10,Calculate[[#This Row],[Echo_res_ds]]/10))</f>
        <v>-138.3870803407703</v>
      </c>
      <c r="T155" s="2">
        <f>Calculate[[#This Row],[Rx_PSD_us]]-Calculate[[#This Row],[Noise_us]]</f>
        <v>13.492751381893584</v>
      </c>
      <c r="U155" s="2">
        <f>Calculate[[#This Row],[Rx_PSD_ds]]-Calculate[[#This Row],[Noise_ds]]</f>
        <v>13.492751381893584</v>
      </c>
      <c r="V155" s="2">
        <f>POWER(10,Calculate[[#This Row],[SNRdB_us]]/10)</f>
        <v>22.349877041427025</v>
      </c>
      <c r="W155" s="2">
        <f>POWER(10,Calculate[[#This Row],[SNRdB_ds]]/10)</f>
        <v>22.349877041427025</v>
      </c>
      <c r="X155" s="2">
        <f>-(0.002*Calculate[[#This Row],[Freq]]/1000000/2.5+0.68*(Calculate[[#This Row],[Freq]]/1000000/2.5)^0.45)</f>
        <v>-29.630065573962558</v>
      </c>
    </row>
    <row r="156" spans="1:24" x14ac:dyDescent="0.25">
      <c r="A156" s="34">
        <f t="shared" si="24"/>
        <v>6975000000</v>
      </c>
      <c r="B156" s="1">
        <f>Calculate[[#This Row],[Freq]]-A155</f>
        <v>45000000</v>
      </c>
      <c r="C156">
        <f>Channels!B156*cable_length</f>
        <v>-26.53250990144608</v>
      </c>
      <c r="D156" s="2">
        <f>Masks!A156</f>
        <v>-98.470325397914564</v>
      </c>
      <c r="E156" s="2">
        <f>Masks!B156</f>
        <v>-98.470325397914564</v>
      </c>
      <c r="F156" s="2">
        <f>Calculate[[#This Row],[Tx_PSD_us]]+Calculate[[#This Row],[IL]]</f>
        <v>-125.00283529936064</v>
      </c>
      <c r="G156" s="2">
        <f>Calculate[[#This Row],[Tx_PSD_ds]]+Calculate[[#This Row],[IL]]</f>
        <v>-125.00283529936064</v>
      </c>
      <c r="H156" s="2">
        <f>Masks[[#This Row],[channel_echo]]</f>
        <v>-9.1508428293379787</v>
      </c>
      <c r="I156" s="2">
        <f>Masks[[#This Row],[channel_echo]]</f>
        <v>-9.1508428293379787</v>
      </c>
      <c r="J156" s="2">
        <f>Calculate[[#This Row],[Echo_transfer_us]]+Calculate[[#This Row],[Tx_PSD_ds]]</f>
        <v>-107.62116822725254</v>
      </c>
      <c r="K156" s="2">
        <f>Calculate[[#This Row],[Echo_transfer_ds]]+Calculate[[#This Row],[Tx_PSD_us]]</f>
        <v>-107.62116822725254</v>
      </c>
      <c r="L156" s="2">
        <f t="shared" si="20"/>
        <v>-140</v>
      </c>
      <c r="M156" s="2">
        <f t="shared" si="21"/>
        <v>-140</v>
      </c>
      <c r="N156" s="2">
        <f t="shared" si="22"/>
        <v>5</v>
      </c>
      <c r="O156" s="2">
        <f t="shared" si="23"/>
        <v>5</v>
      </c>
      <c r="P156" s="2">
        <f>10*LOG10((10^(Calculate[[#This Row],[Rx_echo_us]]/10))-(10^((Masks[[#This Row],[connector_echo]]+Calculate[[#This Row],[Tx_PSD_ds]])/10))*EC_conector_ratio_us)-Calculate[[#This Row],[EC_cancelation_us]]</f>
        <v>-143.47032539792423</v>
      </c>
      <c r="Q156" s="2">
        <f>10*LOG10((10^(Calculate[[#This Row],[Rx_echo_ds]]/10))-(10^((Masks[[#This Row],[connector_echo]]+Calculate[[#This Row],[Tx_PSD_us]])/10))*EC_conector_ratio_ds)-Calculate[[#This Row],[EC_cancelation_ds]]</f>
        <v>-143.47032539792423</v>
      </c>
      <c r="R156" s="2">
        <f>10*LOG10(POWER(10,Calculate[[#This Row],[AFE_noise_us]]/10)+POWER(10,Calculate[[#This Row],[Echo_res_us]]/10))</f>
        <v>-138.38708034075958</v>
      </c>
      <c r="S156" s="2">
        <f>10*LOG10(POWER(10,Calculate[[#This Row],[AFE_noise_ds]]/10)+POWER(10,Calculate[[#This Row],[Echo_res_ds]]/10))</f>
        <v>-138.38708034075958</v>
      </c>
      <c r="T156" s="2">
        <f>Calculate[[#This Row],[Rx_PSD_us]]-Calculate[[#This Row],[Noise_us]]</f>
        <v>13.384245041398941</v>
      </c>
      <c r="U156" s="2">
        <f>Calculate[[#This Row],[Rx_PSD_ds]]-Calculate[[#This Row],[Noise_ds]]</f>
        <v>13.384245041398941</v>
      </c>
      <c r="V156" s="2">
        <f>POWER(10,Calculate[[#This Row],[SNRdB_us]]/10)</f>
        <v>21.798394304609506</v>
      </c>
      <c r="W156" s="2">
        <f>POWER(10,Calculate[[#This Row],[SNRdB_ds]]/10)</f>
        <v>21.798394304609506</v>
      </c>
      <c r="X156" s="2">
        <f>-(0.002*Calculate[[#This Row],[Freq]]/1000000/2.5+0.68*(Calculate[[#This Row],[Freq]]/1000000/2.5)^0.45)</f>
        <v>-29.73632167332471</v>
      </c>
    </row>
    <row r="157" spans="1:24" x14ac:dyDescent="0.25">
      <c r="A157" s="34">
        <f t="shared" si="24"/>
        <v>7020000000</v>
      </c>
      <c r="B157" s="1">
        <f>Calculate[[#This Row],[Freq]]-A156</f>
        <v>45000000</v>
      </c>
      <c r="C157">
        <f>Channels!B157*cable_length</f>
        <v>-26.640813746660616</v>
      </c>
      <c r="D157" s="2">
        <f>Masks!A157</f>
        <v>-98.470325397914564</v>
      </c>
      <c r="E157" s="2">
        <f>Masks!B157</f>
        <v>-98.470325397914564</v>
      </c>
      <c r="F157" s="2">
        <f>Calculate[[#This Row],[Tx_PSD_us]]+Calculate[[#This Row],[IL]]</f>
        <v>-125.11113914457518</v>
      </c>
      <c r="G157" s="2">
        <f>Calculate[[#This Row],[Tx_PSD_ds]]+Calculate[[#This Row],[IL]]</f>
        <v>-125.11113914457518</v>
      </c>
      <c r="H157" s="2">
        <f>Masks[[#This Row],[channel_echo]]</f>
        <v>-9.1236053168735882</v>
      </c>
      <c r="I157" s="2">
        <f>Masks[[#This Row],[channel_echo]]</f>
        <v>-9.1236053168735882</v>
      </c>
      <c r="J157" s="2">
        <f>Calculate[[#This Row],[Echo_transfer_us]]+Calculate[[#This Row],[Tx_PSD_ds]]</f>
        <v>-107.59393071478816</v>
      </c>
      <c r="K157" s="2">
        <f>Calculate[[#This Row],[Echo_transfer_ds]]+Calculate[[#This Row],[Tx_PSD_us]]</f>
        <v>-107.59393071478816</v>
      </c>
      <c r="L157" s="2">
        <f t="shared" si="20"/>
        <v>-140</v>
      </c>
      <c r="M157" s="2">
        <f t="shared" si="21"/>
        <v>-140</v>
      </c>
      <c r="N157" s="2">
        <f t="shared" si="22"/>
        <v>5</v>
      </c>
      <c r="O157" s="2">
        <f t="shared" si="23"/>
        <v>5</v>
      </c>
      <c r="P157" s="2">
        <f>10*LOG10((10^(Calculate[[#This Row],[Rx_echo_us]]/10))-(10^((Masks[[#This Row],[connector_echo]]+Calculate[[#This Row],[Tx_PSD_ds]])/10))*EC_conector_ratio_us)-Calculate[[#This Row],[EC_cancelation_us]]</f>
        <v>-143.47032539788574</v>
      </c>
      <c r="Q157" s="2">
        <f>10*LOG10((10^(Calculate[[#This Row],[Rx_echo_ds]]/10))-(10^((Masks[[#This Row],[connector_echo]]+Calculate[[#This Row],[Tx_PSD_us]])/10))*EC_conector_ratio_ds)-Calculate[[#This Row],[EC_cancelation_ds]]</f>
        <v>-143.47032539788574</v>
      </c>
      <c r="R157" s="2">
        <f>10*LOG10(POWER(10,Calculate[[#This Row],[AFE_noise_us]]/10)+POWER(10,Calculate[[#This Row],[Echo_res_us]]/10))</f>
        <v>-138.38708034074764</v>
      </c>
      <c r="S157" s="2">
        <f>10*LOG10(POWER(10,Calculate[[#This Row],[AFE_noise_ds]]/10)+POWER(10,Calculate[[#This Row],[Echo_res_ds]]/10))</f>
        <v>-138.38708034074764</v>
      </c>
      <c r="T157" s="2">
        <f>Calculate[[#This Row],[Rx_PSD_us]]-Calculate[[#This Row],[Noise_us]]</f>
        <v>13.275941196172468</v>
      </c>
      <c r="U157" s="2">
        <f>Calculate[[#This Row],[Rx_PSD_ds]]-Calculate[[#This Row],[Noise_ds]]</f>
        <v>13.275941196172468</v>
      </c>
      <c r="V157" s="2">
        <f>POWER(10,Calculate[[#This Row],[SNRdB_us]]/10)</f>
        <v>21.261510714084775</v>
      </c>
      <c r="W157" s="2">
        <f>POWER(10,Calculate[[#This Row],[SNRdB_ds]]/10)</f>
        <v>21.261510714084775</v>
      </c>
      <c r="X157" s="2">
        <f>-(0.002*Calculate[[#This Row],[Freq]]/1000000/2.5+0.68*(Calculate[[#This Row],[Freq]]/1000000/2.5)^0.45)</f>
        <v>-29.842328916429555</v>
      </c>
    </row>
    <row r="158" spans="1:24" x14ac:dyDescent="0.25">
      <c r="A158" s="34">
        <f t="shared" si="24"/>
        <v>7065000000</v>
      </c>
      <c r="B158" s="1">
        <f>Calculate[[#This Row],[Freq]]-A157</f>
        <v>45000000</v>
      </c>
      <c r="C158">
        <f>Channels!B158*cable_length</f>
        <v>-26.74891704058534</v>
      </c>
      <c r="D158" s="2">
        <f>Masks!A158</f>
        <v>-148.47032539791456</v>
      </c>
      <c r="E158" s="2">
        <f>Masks!B158</f>
        <v>-148.47032539791456</v>
      </c>
      <c r="F158" s="2">
        <f>Calculate[[#This Row],[Tx_PSD_us]]+Calculate[[#This Row],[IL]]</f>
        <v>-175.21924243849992</v>
      </c>
      <c r="G158" s="2">
        <f>Calculate[[#This Row],[Tx_PSD_ds]]+Calculate[[#This Row],[IL]]</f>
        <v>-175.21924243849992</v>
      </c>
      <c r="H158" s="2">
        <f>Masks[[#This Row],[channel_echo]]</f>
        <v>-9.0965375649433184</v>
      </c>
      <c r="I158" s="2">
        <f>Masks[[#This Row],[channel_echo]]</f>
        <v>-9.0965375649433184</v>
      </c>
      <c r="J158" s="2">
        <f>Calculate[[#This Row],[Echo_transfer_us]]+Calculate[[#This Row],[Tx_PSD_ds]]</f>
        <v>-157.5668629628579</v>
      </c>
      <c r="K158" s="2">
        <f>Calculate[[#This Row],[Echo_transfer_ds]]+Calculate[[#This Row],[Tx_PSD_us]]</f>
        <v>-157.5668629628579</v>
      </c>
      <c r="L158" s="2">
        <f t="shared" si="20"/>
        <v>-140</v>
      </c>
      <c r="M158" s="2">
        <f t="shared" si="21"/>
        <v>-140</v>
      </c>
      <c r="N158" s="2">
        <f t="shared" si="22"/>
        <v>5</v>
      </c>
      <c r="O158" s="2">
        <f t="shared" si="23"/>
        <v>5</v>
      </c>
      <c r="P158" s="2">
        <f>10*LOG10((10^(Calculate[[#This Row],[Rx_echo_us]]/10))-(10^((Masks[[#This Row],[connector_echo]]+Calculate[[#This Row],[Tx_PSD_ds]])/10))*EC_conector_ratio_us)-Calculate[[#This Row],[EC_cancelation_us]]</f>
        <v>-193.47032539791485</v>
      </c>
      <c r="Q158" s="2">
        <f>10*LOG10((10^(Calculate[[#This Row],[Rx_echo_ds]]/10))-(10^((Masks[[#This Row],[connector_echo]]+Calculate[[#This Row],[Tx_PSD_us]])/10))*EC_conector_ratio_ds)-Calculate[[#This Row],[EC_cancelation_ds]]</f>
        <v>-193.47032539791485</v>
      </c>
      <c r="R158" s="2">
        <f>10*LOG10(POWER(10,Calculate[[#This Row],[AFE_noise_us]]/10)+POWER(10,Calculate[[#This Row],[Echo_res_us]]/10))</f>
        <v>-139.99998046781653</v>
      </c>
      <c r="S158" s="2">
        <f>10*LOG10(POWER(10,Calculate[[#This Row],[AFE_noise_ds]]/10)+POWER(10,Calculate[[#This Row],[Echo_res_ds]]/10))</f>
        <v>-139.99998046781653</v>
      </c>
      <c r="T158" s="2">
        <f>Calculate[[#This Row],[Rx_PSD_us]]-Calculate[[#This Row],[Noise_us]]</f>
        <v>-35.219261970683391</v>
      </c>
      <c r="U158" s="2">
        <f>Calculate[[#This Row],[Rx_PSD_ds]]-Calculate[[#This Row],[Noise_ds]]</f>
        <v>-35.219261970683391</v>
      </c>
      <c r="V158" s="2">
        <f>POWER(10,Calculate[[#This Row],[SNRdB_us]]/10)</f>
        <v>3.0065871912192198E-4</v>
      </c>
      <c r="W158" s="2">
        <f>POWER(10,Calculate[[#This Row],[SNRdB_ds]]/10)</f>
        <v>3.0065871912192198E-4</v>
      </c>
      <c r="X158" s="2">
        <f>-(0.002*Calculate[[#This Row],[Freq]]/1000000/2.5+0.68*(Calculate[[#This Row],[Freq]]/1000000/2.5)^0.45)</f>
        <v>-29.948089771567542</v>
      </c>
    </row>
    <row r="159" spans="1:24" x14ac:dyDescent="0.25">
      <c r="A159" s="34">
        <f t="shared" si="24"/>
        <v>7110000000</v>
      </c>
      <c r="B159" s="1">
        <f>Calculate[[#This Row],[Freq]]-A158</f>
        <v>45000000</v>
      </c>
      <c r="C159">
        <f>Channels!B159*cable_length</f>
        <v>-26.856821696293423</v>
      </c>
      <c r="D159" s="2">
        <f>Masks!A159</f>
        <v>-148.47032539791456</v>
      </c>
      <c r="E159" s="2">
        <f>Masks!B159</f>
        <v>-148.47032539791456</v>
      </c>
      <c r="F159" s="2">
        <f>Calculate[[#This Row],[Tx_PSD_us]]+Calculate[[#This Row],[IL]]</f>
        <v>-175.32714709420799</v>
      </c>
      <c r="G159" s="2">
        <f>Calculate[[#This Row],[Tx_PSD_ds]]+Calculate[[#This Row],[IL]]</f>
        <v>-175.32714709420799</v>
      </c>
      <c r="H159" s="2">
        <f>Masks[[#This Row],[channel_echo]]</f>
        <v>-9.0696374705483702</v>
      </c>
      <c r="I159" s="2">
        <f>Masks[[#This Row],[channel_echo]]</f>
        <v>-9.0696374705483702</v>
      </c>
      <c r="J159" s="2">
        <f>Calculate[[#This Row],[Echo_transfer_us]]+Calculate[[#This Row],[Tx_PSD_ds]]</f>
        <v>-157.53996286846294</v>
      </c>
      <c r="K159" s="2">
        <f>Calculate[[#This Row],[Echo_transfer_ds]]+Calculate[[#This Row],[Tx_PSD_us]]</f>
        <v>-157.53996286846294</v>
      </c>
      <c r="L159" s="2">
        <f t="shared" si="20"/>
        <v>-140</v>
      </c>
      <c r="M159" s="2">
        <f t="shared" si="21"/>
        <v>-140</v>
      </c>
      <c r="N159" s="2">
        <f t="shared" si="22"/>
        <v>5</v>
      </c>
      <c r="O159" s="2">
        <f t="shared" si="23"/>
        <v>5</v>
      </c>
      <c r="P159" s="2">
        <f>10*LOG10((10^(Calculate[[#This Row],[Rx_echo_us]]/10))-(10^((Masks[[#This Row],[connector_echo]]+Calculate[[#This Row],[Tx_PSD_ds]])/10))*EC_conector_ratio_us)-Calculate[[#This Row],[EC_cancelation_us]]</f>
        <v>-193.47032539788248</v>
      </c>
      <c r="Q159" s="2">
        <f>10*LOG10((10^(Calculate[[#This Row],[Rx_echo_ds]]/10))-(10^((Masks[[#This Row],[connector_echo]]+Calculate[[#This Row],[Tx_PSD_us]])/10))*EC_conector_ratio_ds)-Calculate[[#This Row],[EC_cancelation_ds]]</f>
        <v>-193.47032539788248</v>
      </c>
      <c r="R159" s="2">
        <f>10*LOG10(POWER(10,Calculate[[#This Row],[AFE_noise_us]]/10)+POWER(10,Calculate[[#This Row],[Echo_res_us]]/10))</f>
        <v>-139.99998046781653</v>
      </c>
      <c r="S159" s="2">
        <f>10*LOG10(POWER(10,Calculate[[#This Row],[AFE_noise_ds]]/10)+POWER(10,Calculate[[#This Row],[Echo_res_ds]]/10))</f>
        <v>-139.99998046781653</v>
      </c>
      <c r="T159" s="2">
        <f>Calculate[[#This Row],[Rx_PSD_us]]-Calculate[[#This Row],[Noise_us]]</f>
        <v>-35.32716662639146</v>
      </c>
      <c r="U159" s="2">
        <f>Calculate[[#This Row],[Rx_PSD_ds]]-Calculate[[#This Row],[Noise_ds]]</f>
        <v>-35.32716662639146</v>
      </c>
      <c r="V159" s="2">
        <f>POWER(10,Calculate[[#This Row],[SNRdB_us]]/10)</f>
        <v>2.9328060084578722E-4</v>
      </c>
      <c r="W159" s="2">
        <f>POWER(10,Calculate[[#This Row],[SNRdB_ds]]/10)</f>
        <v>2.9328060084578722E-4</v>
      </c>
      <c r="X159" s="2">
        <f>-(0.002*Calculate[[#This Row],[Freq]]/1000000/2.5+0.68*(Calculate[[#This Row],[Freq]]/1000000/2.5)^0.45)</f>
        <v>-30.053606667008445</v>
      </c>
    </row>
    <row r="160" spans="1:24" x14ac:dyDescent="0.25">
      <c r="A160" s="34">
        <f t="shared" si="24"/>
        <v>7155000000</v>
      </c>
      <c r="B160" s="1">
        <f>Calculate[[#This Row],[Freq]]-A159</f>
        <v>45000000</v>
      </c>
      <c r="C160">
        <f>Channels!B160*cable_length</f>
        <v>-26.964529596635167</v>
      </c>
      <c r="D160" s="2">
        <f>Masks!A160</f>
        <v>-148.47032539791456</v>
      </c>
      <c r="E160" s="2">
        <f>Masks!B160</f>
        <v>-148.47032539791456</v>
      </c>
      <c r="F160" s="2">
        <f>Calculate[[#This Row],[Tx_PSD_us]]+Calculate[[#This Row],[IL]]</f>
        <v>-175.43485499454974</v>
      </c>
      <c r="G160" s="2">
        <f>Calculate[[#This Row],[Tx_PSD_ds]]+Calculate[[#This Row],[IL]]</f>
        <v>-175.43485499454974</v>
      </c>
      <c r="H160" s="2">
        <f>Masks[[#This Row],[channel_echo]]</f>
        <v>-9.0429029695275283</v>
      </c>
      <c r="I160" s="2">
        <f>Masks[[#This Row],[channel_echo]]</f>
        <v>-9.0429029695275283</v>
      </c>
      <c r="J160" s="2">
        <f>Calculate[[#This Row],[Echo_transfer_us]]+Calculate[[#This Row],[Tx_PSD_ds]]</f>
        <v>-157.51322836744208</v>
      </c>
      <c r="K160" s="2">
        <f>Calculate[[#This Row],[Echo_transfer_ds]]+Calculate[[#This Row],[Tx_PSD_us]]</f>
        <v>-157.51322836744208</v>
      </c>
      <c r="L160" s="2">
        <f t="shared" si="20"/>
        <v>-140</v>
      </c>
      <c r="M160" s="2">
        <f t="shared" si="21"/>
        <v>-140</v>
      </c>
      <c r="N160" s="2">
        <f t="shared" si="22"/>
        <v>5</v>
      </c>
      <c r="O160" s="2">
        <f t="shared" si="23"/>
        <v>5</v>
      </c>
      <c r="P160" s="2">
        <f>10*LOG10((10^(Calculate[[#This Row],[Rx_echo_us]]/10))-(10^((Masks[[#This Row],[connector_echo]]+Calculate[[#This Row],[Tx_PSD_ds]])/10))*EC_conector_ratio_us)-Calculate[[#This Row],[EC_cancelation_us]]</f>
        <v>-193.47032539789527</v>
      </c>
      <c r="Q160" s="2">
        <f>10*LOG10((10^(Calculate[[#This Row],[Rx_echo_ds]]/10))-(10^((Masks[[#This Row],[connector_echo]]+Calculate[[#This Row],[Tx_PSD_us]])/10))*EC_conector_ratio_ds)-Calculate[[#This Row],[EC_cancelation_ds]]</f>
        <v>-193.47032539789527</v>
      </c>
      <c r="R160" s="2">
        <f>10*LOG10(POWER(10,Calculate[[#This Row],[AFE_noise_us]]/10)+POWER(10,Calculate[[#This Row],[Echo_res_us]]/10))</f>
        <v>-139.99998046781653</v>
      </c>
      <c r="S160" s="2">
        <f>10*LOG10(POWER(10,Calculate[[#This Row],[AFE_noise_ds]]/10)+POWER(10,Calculate[[#This Row],[Echo_res_ds]]/10))</f>
        <v>-139.99998046781653</v>
      </c>
      <c r="T160" s="2">
        <f>Calculate[[#This Row],[Rx_PSD_us]]-Calculate[[#This Row],[Noise_us]]</f>
        <v>-35.434874526733211</v>
      </c>
      <c r="U160" s="2">
        <f>Calculate[[#This Row],[Rx_PSD_ds]]-Calculate[[#This Row],[Noise_ds]]</f>
        <v>-35.434874526733211</v>
      </c>
      <c r="V160" s="2">
        <f>POWER(10,Calculate[[#This Row],[SNRdB_us]]/10)</f>
        <v>2.8609650163956214E-4</v>
      </c>
      <c r="W160" s="2">
        <f>POWER(10,Calculate[[#This Row],[SNRdB_ds]]/10)</f>
        <v>2.8609650163956214E-4</v>
      </c>
      <c r="X160" s="2">
        <f>-(0.002*Calculate[[#This Row],[Freq]]/1000000/2.5+0.68*(Calculate[[#This Row],[Freq]]/1000000/2.5)^0.45)</f>
        <v>-30.158881991899015</v>
      </c>
    </row>
    <row r="161" spans="1:24" x14ac:dyDescent="0.25">
      <c r="A161" s="34">
        <f t="shared" si="24"/>
        <v>7200000000</v>
      </c>
      <c r="B161" s="1">
        <f>Calculate[[#This Row],[Freq]]-A160</f>
        <v>45000000</v>
      </c>
      <c r="C161">
        <f>Channels!B161*cable_length</f>
        <v>-27.072042594902268</v>
      </c>
      <c r="D161" s="2">
        <f>Masks!A161</f>
        <v>-148.47032539791456</v>
      </c>
      <c r="E161" s="2">
        <f>Masks!B161</f>
        <v>-148.47032539791456</v>
      </c>
      <c r="F161" s="2">
        <f>Calculate[[#This Row],[Tx_PSD_us]]+Calculate[[#This Row],[IL]]</f>
        <v>-175.54236799281682</v>
      </c>
      <c r="G161" s="2">
        <f>Calculate[[#This Row],[Tx_PSD_ds]]+Calculate[[#This Row],[IL]]</f>
        <v>-175.54236799281682</v>
      </c>
      <c r="H161" s="2">
        <f>Masks[[#This Row],[channel_echo]]</f>
        <v>-9.0163320356066912</v>
      </c>
      <c r="I161" s="2">
        <f>Masks[[#This Row],[channel_echo]]</f>
        <v>-9.0163320356066912</v>
      </c>
      <c r="J161" s="2">
        <f>Calculate[[#This Row],[Echo_transfer_us]]+Calculate[[#This Row],[Tx_PSD_ds]]</f>
        <v>-157.48665743352126</v>
      </c>
      <c r="K161" s="2">
        <f>Calculate[[#This Row],[Echo_transfer_ds]]+Calculate[[#This Row],[Tx_PSD_us]]</f>
        <v>-157.48665743352126</v>
      </c>
      <c r="L161" s="2">
        <f t="shared" si="20"/>
        <v>-140</v>
      </c>
      <c r="M161" s="2">
        <f t="shared" si="21"/>
        <v>-140</v>
      </c>
      <c r="N161" s="2">
        <f t="shared" si="22"/>
        <v>5</v>
      </c>
      <c r="O161" s="2">
        <f t="shared" si="23"/>
        <v>5</v>
      </c>
      <c r="P161" s="2">
        <f>10*LOG10((10^(Calculate[[#This Row],[Rx_echo_us]]/10))-(10^((Masks[[#This Row],[connector_echo]]+Calculate[[#This Row],[Tx_PSD_ds]])/10))*EC_conector_ratio_us)-Calculate[[#This Row],[EC_cancelation_us]]</f>
        <v>-193.47032539794418</v>
      </c>
      <c r="Q161" s="2">
        <f>10*LOG10((10^(Calculate[[#This Row],[Rx_echo_ds]]/10))-(10^((Masks[[#This Row],[connector_echo]]+Calculate[[#This Row],[Tx_PSD_us]])/10))*EC_conector_ratio_ds)-Calculate[[#This Row],[EC_cancelation_ds]]</f>
        <v>-193.47032539794418</v>
      </c>
      <c r="R161" s="2">
        <f>10*LOG10(POWER(10,Calculate[[#This Row],[AFE_noise_us]]/10)+POWER(10,Calculate[[#This Row],[Echo_res_us]]/10))</f>
        <v>-139.99998046781653</v>
      </c>
      <c r="S161" s="2">
        <f>10*LOG10(POWER(10,Calculate[[#This Row],[AFE_noise_ds]]/10)+POWER(10,Calculate[[#This Row],[Echo_res_ds]]/10))</f>
        <v>-139.99998046781653</v>
      </c>
      <c r="T161" s="2">
        <f>Calculate[[#This Row],[Rx_PSD_us]]-Calculate[[#This Row],[Noise_us]]</f>
        <v>-35.542387525000294</v>
      </c>
      <c r="U161" s="2">
        <f>Calculate[[#This Row],[Rx_PSD_ds]]-Calculate[[#This Row],[Noise_ds]]</f>
        <v>-35.542387525000294</v>
      </c>
      <c r="V161" s="2">
        <f>POWER(10,Calculate[[#This Row],[SNRdB_us]]/10)</f>
        <v>2.7910090679002589E-4</v>
      </c>
      <c r="W161" s="2">
        <f>POWER(10,Calculate[[#This Row],[SNRdB_ds]]/10)</f>
        <v>2.7910090679002589E-4</v>
      </c>
      <c r="X161" s="2">
        <f>-(0.002*Calculate[[#This Row],[Freq]]/1000000/2.5+0.68*(Calculate[[#This Row],[Freq]]/1000000/2.5)^0.45)</f>
        <v>-30.263918097135068</v>
      </c>
    </row>
    <row r="162" spans="1:24" x14ac:dyDescent="0.25">
      <c r="A162" s="34">
        <f t="shared" si="24"/>
        <v>7245000000</v>
      </c>
      <c r="B162" s="1">
        <f>Calculate[[#This Row],[Freq]]-A161</f>
        <v>45000000</v>
      </c>
      <c r="C162">
        <f>Channels!B162*cable_length</f>
        <v>-27.179362515473436</v>
      </c>
      <c r="D162" s="2">
        <f>Masks!A162</f>
        <v>-148.47032539791456</v>
      </c>
      <c r="E162" s="2">
        <f>Masks!B162</f>
        <v>-148.47032539791456</v>
      </c>
      <c r="F162" s="2">
        <f>Calculate[[#This Row],[Tx_PSD_us]]+Calculate[[#This Row],[IL]]</f>
        <v>-175.64968791338799</v>
      </c>
      <c r="G162" s="2">
        <f>Calculate[[#This Row],[Tx_PSD_ds]]+Calculate[[#This Row],[IL]]</f>
        <v>-175.64968791338799</v>
      </c>
      <c r="H162" s="2">
        <f>Masks[[#This Row],[channel_echo]]</f>
        <v>-8.989922679477294</v>
      </c>
      <c r="I162" s="2">
        <f>Masks[[#This Row],[channel_echo]]</f>
        <v>-8.989922679477294</v>
      </c>
      <c r="J162" s="2">
        <f>Calculate[[#This Row],[Echo_transfer_us]]+Calculate[[#This Row],[Tx_PSD_ds]]</f>
        <v>-157.46024807739187</v>
      </c>
      <c r="K162" s="2">
        <f>Calculate[[#This Row],[Echo_transfer_ds]]+Calculate[[#This Row],[Tx_PSD_us]]</f>
        <v>-157.46024807739187</v>
      </c>
      <c r="L162" s="2">
        <f t="shared" ref="L162:L193" si="25">AFE_noise_us</f>
        <v>-140</v>
      </c>
      <c r="M162" s="2">
        <f t="shared" ref="M162:M193" si="26">AFE_noise_ds</f>
        <v>-140</v>
      </c>
      <c r="N162" s="2">
        <f t="shared" ref="N162:N193" si="27">EC_cancel_us</f>
        <v>5</v>
      </c>
      <c r="O162" s="2">
        <f t="shared" ref="O162:O193" si="28">EC_cancel_ds</f>
        <v>5</v>
      </c>
      <c r="P162" s="2">
        <f>10*LOG10((10^(Calculate[[#This Row],[Rx_echo_us]]/10))-(10^((Masks[[#This Row],[connector_echo]]+Calculate[[#This Row],[Tx_PSD_ds]])/10))*EC_conector_ratio_us)-Calculate[[#This Row],[EC_cancelation_us]]</f>
        <v>-193.47032539789376</v>
      </c>
      <c r="Q162" s="2">
        <f>10*LOG10((10^(Calculate[[#This Row],[Rx_echo_ds]]/10))-(10^((Masks[[#This Row],[connector_echo]]+Calculate[[#This Row],[Tx_PSD_us]])/10))*EC_conector_ratio_ds)-Calculate[[#This Row],[EC_cancelation_ds]]</f>
        <v>-193.47032539789376</v>
      </c>
      <c r="R162" s="2">
        <f>10*LOG10(POWER(10,Calculate[[#This Row],[AFE_noise_us]]/10)+POWER(10,Calculate[[#This Row],[Echo_res_us]]/10))</f>
        <v>-139.99998046781653</v>
      </c>
      <c r="S162" s="2">
        <f>10*LOG10(POWER(10,Calculate[[#This Row],[AFE_noise_ds]]/10)+POWER(10,Calculate[[#This Row],[Echo_res_ds]]/10))</f>
        <v>-139.99998046781653</v>
      </c>
      <c r="T162" s="2">
        <f>Calculate[[#This Row],[Rx_PSD_us]]-Calculate[[#This Row],[Noise_us]]</f>
        <v>-35.649707445571465</v>
      </c>
      <c r="U162" s="2">
        <f>Calculate[[#This Row],[Rx_PSD_ds]]-Calculate[[#This Row],[Noise_ds]]</f>
        <v>-35.649707445571465</v>
      </c>
      <c r="V162" s="2">
        <f>POWER(10,Calculate[[#This Row],[SNRdB_us]]/10)</f>
        <v>2.7228847239829499E-4</v>
      </c>
      <c r="W162" s="2">
        <f>POWER(10,Calculate[[#This Row],[SNRdB_ds]]/10)</f>
        <v>2.7228847239829499E-4</v>
      </c>
      <c r="X162" s="2">
        <f>-(0.002*Calculate[[#This Row],[Freq]]/1000000/2.5+0.68*(Calculate[[#This Row],[Freq]]/1000000/2.5)^0.45)</f>
        <v>-30.368717296208576</v>
      </c>
    </row>
    <row r="163" spans="1:24" x14ac:dyDescent="0.25">
      <c r="A163" s="34">
        <f t="shared" ref="A163:A194" si="29">f_step+A162</f>
        <v>7290000000</v>
      </c>
      <c r="B163" s="1">
        <f>Calculate[[#This Row],[Freq]]-A162</f>
        <v>45000000</v>
      </c>
      <c r="C163">
        <f>Channels!B163*cable_length</f>
        <v>-27.28649115444194</v>
      </c>
      <c r="D163" s="2">
        <f>Masks!A163</f>
        <v>-148.47032539791456</v>
      </c>
      <c r="E163" s="2">
        <f>Masks!B163</f>
        <v>-148.47032539791456</v>
      </c>
      <c r="F163" s="2">
        <f>Calculate[[#This Row],[Tx_PSD_us]]+Calculate[[#This Row],[IL]]</f>
        <v>-175.7568165523565</v>
      </c>
      <c r="G163" s="2">
        <f>Calculate[[#This Row],[Tx_PSD_ds]]+Calculate[[#This Row],[IL]]</f>
        <v>-175.7568165523565</v>
      </c>
      <c r="H163" s="2">
        <f>Masks[[#This Row],[channel_echo]]</f>
        <v>-8.9636729479025909</v>
      </c>
      <c r="I163" s="2">
        <f>Masks[[#This Row],[channel_echo]]</f>
        <v>-8.9636729479025909</v>
      </c>
      <c r="J163" s="2">
        <f>Calculate[[#This Row],[Echo_transfer_us]]+Calculate[[#This Row],[Tx_PSD_ds]]</f>
        <v>-157.43399834581714</v>
      </c>
      <c r="K163" s="2">
        <f>Calculate[[#This Row],[Echo_transfer_ds]]+Calculate[[#This Row],[Tx_PSD_us]]</f>
        <v>-157.43399834581714</v>
      </c>
      <c r="L163" s="2">
        <f t="shared" si="25"/>
        <v>-140</v>
      </c>
      <c r="M163" s="2">
        <f t="shared" si="26"/>
        <v>-140</v>
      </c>
      <c r="N163" s="2">
        <f t="shared" si="27"/>
        <v>5</v>
      </c>
      <c r="O163" s="2">
        <f t="shared" si="28"/>
        <v>5</v>
      </c>
      <c r="P163" s="2">
        <f>10*LOG10((10^(Calculate[[#This Row],[Rx_echo_us]]/10))-(10^((Masks[[#This Row],[connector_echo]]+Calculate[[#This Row],[Tx_PSD_ds]])/10))*EC_conector_ratio_us)-Calculate[[#This Row],[EC_cancelation_us]]</f>
        <v>-193.47032539791411</v>
      </c>
      <c r="Q163" s="2">
        <f>10*LOG10((10^(Calculate[[#This Row],[Rx_echo_ds]]/10))-(10^((Masks[[#This Row],[connector_echo]]+Calculate[[#This Row],[Tx_PSD_us]])/10))*EC_conector_ratio_ds)-Calculate[[#This Row],[EC_cancelation_ds]]</f>
        <v>-193.47032539791411</v>
      </c>
      <c r="R163" s="2">
        <f>10*LOG10(POWER(10,Calculate[[#This Row],[AFE_noise_us]]/10)+POWER(10,Calculate[[#This Row],[Echo_res_us]]/10))</f>
        <v>-139.99998046781653</v>
      </c>
      <c r="S163" s="2">
        <f>10*LOG10(POWER(10,Calculate[[#This Row],[AFE_noise_ds]]/10)+POWER(10,Calculate[[#This Row],[Echo_res_ds]]/10))</f>
        <v>-139.99998046781653</v>
      </c>
      <c r="T163" s="2">
        <f>Calculate[[#This Row],[Rx_PSD_us]]-Calculate[[#This Row],[Noise_us]]</f>
        <v>-35.75683608453997</v>
      </c>
      <c r="U163" s="2">
        <f>Calculate[[#This Row],[Rx_PSD_ds]]-Calculate[[#This Row],[Noise_ds]]</f>
        <v>-35.75683608453997</v>
      </c>
      <c r="V163" s="2">
        <f>POWER(10,Calculate[[#This Row],[SNRdB_us]]/10)</f>
        <v>2.6565401957471288E-4</v>
      </c>
      <c r="W163" s="2">
        <f>POWER(10,Calculate[[#This Row],[SNRdB_ds]]/10)</f>
        <v>2.6565401957471288E-4</v>
      </c>
      <c r="X163" s="2">
        <f>-(0.002*Calculate[[#This Row],[Freq]]/1000000/2.5+0.68*(Calculate[[#This Row],[Freq]]/1000000/2.5)^0.45)</f>
        <v>-30.473281866031197</v>
      </c>
    </row>
    <row r="164" spans="1:24" x14ac:dyDescent="0.25">
      <c r="A164" s="34">
        <f t="shared" si="29"/>
        <v>7335000000</v>
      </c>
      <c r="B164" s="1">
        <f>Calculate[[#This Row],[Freq]]-A163</f>
        <v>45000000</v>
      </c>
      <c r="C164">
        <f>Channels!B164*cable_length</f>
        <v>-27.393430280225818</v>
      </c>
      <c r="D164" s="2">
        <f>Masks!A164</f>
        <v>-148.47032539791456</v>
      </c>
      <c r="E164" s="2">
        <f>Masks!B164</f>
        <v>-148.47032539791456</v>
      </c>
      <c r="F164" s="2">
        <f>Calculate[[#This Row],[Tx_PSD_us]]+Calculate[[#This Row],[IL]]</f>
        <v>-175.86375567814039</v>
      </c>
      <c r="G164" s="2">
        <f>Calculate[[#This Row],[Tx_PSD_ds]]+Calculate[[#This Row],[IL]]</f>
        <v>-175.86375567814039</v>
      </c>
      <c r="H164" s="2">
        <f>Masks[[#This Row],[channel_echo]]</f>
        <v>-8.9375809228507599</v>
      </c>
      <c r="I164" s="2">
        <f>Masks[[#This Row],[channel_echo]]</f>
        <v>-8.9375809228507599</v>
      </c>
      <c r="J164" s="2">
        <f>Calculate[[#This Row],[Echo_transfer_us]]+Calculate[[#This Row],[Tx_PSD_ds]]</f>
        <v>-157.40790632076533</v>
      </c>
      <c r="K164" s="2">
        <f>Calculate[[#This Row],[Echo_transfer_ds]]+Calculate[[#This Row],[Tx_PSD_us]]</f>
        <v>-157.40790632076533</v>
      </c>
      <c r="L164" s="2">
        <f t="shared" si="25"/>
        <v>-140</v>
      </c>
      <c r="M164" s="2">
        <f t="shared" si="26"/>
        <v>-140</v>
      </c>
      <c r="N164" s="2">
        <f t="shared" si="27"/>
        <v>5</v>
      </c>
      <c r="O164" s="2">
        <f t="shared" si="28"/>
        <v>5</v>
      </c>
      <c r="P164" s="2">
        <f>10*LOG10((10^(Calculate[[#This Row],[Rx_echo_us]]/10))-(10^((Masks[[#This Row],[connector_echo]]+Calculate[[#This Row],[Tx_PSD_ds]])/10))*EC_conector_ratio_us)-Calculate[[#This Row],[EC_cancelation_us]]</f>
        <v>-193.47032539789376</v>
      </c>
      <c r="Q164" s="2">
        <f>10*LOG10((10^(Calculate[[#This Row],[Rx_echo_ds]]/10))-(10^((Masks[[#This Row],[connector_echo]]+Calculate[[#This Row],[Tx_PSD_us]])/10))*EC_conector_ratio_ds)-Calculate[[#This Row],[EC_cancelation_ds]]</f>
        <v>-193.47032539789376</v>
      </c>
      <c r="R164" s="2">
        <f>10*LOG10(POWER(10,Calculate[[#This Row],[AFE_noise_us]]/10)+POWER(10,Calculate[[#This Row],[Echo_res_us]]/10))</f>
        <v>-139.99998046781653</v>
      </c>
      <c r="S164" s="2">
        <f>10*LOG10(POWER(10,Calculate[[#This Row],[AFE_noise_ds]]/10)+POWER(10,Calculate[[#This Row],[Echo_res_ds]]/10))</f>
        <v>-139.99998046781653</v>
      </c>
      <c r="T164" s="2">
        <f>Calculate[[#This Row],[Rx_PSD_us]]-Calculate[[#This Row],[Noise_us]]</f>
        <v>-35.863775210323865</v>
      </c>
      <c r="U164" s="2">
        <f>Calculate[[#This Row],[Rx_PSD_ds]]-Calculate[[#This Row],[Noise_ds]]</f>
        <v>-35.863775210323865</v>
      </c>
      <c r="V164" s="2">
        <f>POWER(10,Calculate[[#This Row],[SNRdB_us]]/10)</f>
        <v>2.591925288511997E-4</v>
      </c>
      <c r="W164" s="2">
        <f>POWER(10,Calculate[[#This Row],[SNRdB_ds]]/10)</f>
        <v>2.591925288511997E-4</v>
      </c>
      <c r="X164" s="2">
        <f>-(0.002*Calculate[[#This Row],[Freq]]/1000000/2.5+0.68*(Calculate[[#This Row],[Freq]]/1000000/2.5)^0.45)</f>
        <v>-30.577614047734421</v>
      </c>
    </row>
    <row r="165" spans="1:24" x14ac:dyDescent="0.25">
      <c r="A165" s="34">
        <f t="shared" si="29"/>
        <v>7380000000</v>
      </c>
      <c r="B165" s="1">
        <f>Calculate[[#This Row],[Freq]]-A164</f>
        <v>45000000</v>
      </c>
      <c r="C165">
        <f>Channels!B165*cable_length</f>
        <v>-27.500181634161216</v>
      </c>
      <c r="D165" s="2">
        <f>Masks!A165</f>
        <v>-148.47032539791456</v>
      </c>
      <c r="E165" s="2">
        <f>Masks!B165</f>
        <v>-148.47032539791456</v>
      </c>
      <c r="F165" s="2">
        <f>Calculate[[#This Row],[Tx_PSD_us]]+Calculate[[#This Row],[IL]]</f>
        <v>-175.97050703207577</v>
      </c>
      <c r="G165" s="2">
        <f>Calculate[[#This Row],[Tx_PSD_ds]]+Calculate[[#This Row],[IL]]</f>
        <v>-175.97050703207577</v>
      </c>
      <c r="H165" s="2">
        <f>Masks[[#This Row],[channel_echo]]</f>
        <v>-8.9116447206539462</v>
      </c>
      <c r="I165" s="2">
        <f>Masks[[#This Row],[channel_echo]]</f>
        <v>-8.9116447206539462</v>
      </c>
      <c r="J165" s="2">
        <f>Calculate[[#This Row],[Echo_transfer_us]]+Calculate[[#This Row],[Tx_PSD_ds]]</f>
        <v>-157.38197011856852</v>
      </c>
      <c r="K165" s="2">
        <f>Calculate[[#This Row],[Echo_transfer_ds]]+Calculate[[#This Row],[Tx_PSD_us]]</f>
        <v>-157.38197011856852</v>
      </c>
      <c r="L165" s="2">
        <f t="shared" si="25"/>
        <v>-140</v>
      </c>
      <c r="M165" s="2">
        <f t="shared" si="26"/>
        <v>-140</v>
      </c>
      <c r="N165" s="2">
        <f t="shared" si="27"/>
        <v>5</v>
      </c>
      <c r="O165" s="2">
        <f t="shared" si="28"/>
        <v>5</v>
      </c>
      <c r="P165" s="2">
        <f>10*LOG10((10^(Calculate[[#This Row],[Rx_echo_us]]/10))-(10^((Masks[[#This Row],[connector_echo]]+Calculate[[#This Row],[Tx_PSD_ds]])/10))*EC_conector_ratio_us)-Calculate[[#This Row],[EC_cancelation_us]]</f>
        <v>-193.47032539791331</v>
      </c>
      <c r="Q165" s="2">
        <f>10*LOG10((10^(Calculate[[#This Row],[Rx_echo_ds]]/10))-(10^((Masks[[#This Row],[connector_echo]]+Calculate[[#This Row],[Tx_PSD_us]])/10))*EC_conector_ratio_ds)-Calculate[[#This Row],[EC_cancelation_ds]]</f>
        <v>-193.47032539791331</v>
      </c>
      <c r="R165" s="2">
        <f>10*LOG10(POWER(10,Calculate[[#This Row],[AFE_noise_us]]/10)+POWER(10,Calculate[[#This Row],[Echo_res_us]]/10))</f>
        <v>-139.99998046781653</v>
      </c>
      <c r="S165" s="2">
        <f>10*LOG10(POWER(10,Calculate[[#This Row],[AFE_noise_ds]]/10)+POWER(10,Calculate[[#This Row],[Echo_res_ds]]/10))</f>
        <v>-139.99998046781653</v>
      </c>
      <c r="T165" s="2">
        <f>Calculate[[#This Row],[Rx_PSD_us]]-Calculate[[#This Row],[Noise_us]]</f>
        <v>-35.970526564259245</v>
      </c>
      <c r="U165" s="2">
        <f>Calculate[[#This Row],[Rx_PSD_ds]]-Calculate[[#This Row],[Noise_ds]]</f>
        <v>-35.970526564259245</v>
      </c>
      <c r="V165" s="2">
        <f>POWER(10,Calculate[[#This Row],[SNRdB_us]]/10)</f>
        <v>2.528991348021001E-4</v>
      </c>
      <c r="W165" s="2">
        <f>POWER(10,Calculate[[#This Row],[SNRdB_ds]]/10)</f>
        <v>2.528991348021001E-4</v>
      </c>
      <c r="X165" s="2">
        <f>-(0.002*Calculate[[#This Row],[Freq]]/1000000/2.5+0.68*(Calculate[[#This Row],[Freq]]/1000000/2.5)^0.45)</f>
        <v>-30.681716047447605</v>
      </c>
    </row>
    <row r="166" spans="1:24" x14ac:dyDescent="0.25">
      <c r="A166" s="34">
        <f t="shared" si="29"/>
        <v>7425000000</v>
      </c>
      <c r="B166" s="1">
        <f>Calculate[[#This Row],[Freq]]-A165</f>
        <v>45000000</v>
      </c>
      <c r="C166">
        <f>Channels!B166*cable_length</f>
        <v>-27.606746931079485</v>
      </c>
      <c r="D166" s="2">
        <f>Masks!A166</f>
        <v>-148.47032539791456</v>
      </c>
      <c r="E166" s="2">
        <f>Masks!B166</f>
        <v>-148.47032539791456</v>
      </c>
      <c r="F166" s="2">
        <f>Calculate[[#This Row],[Tx_PSD_us]]+Calculate[[#This Row],[IL]]</f>
        <v>-176.07707232899406</v>
      </c>
      <c r="G166" s="2">
        <f>Calculate[[#This Row],[Tx_PSD_ds]]+Calculate[[#This Row],[IL]]</f>
        <v>-176.07707232899406</v>
      </c>
      <c r="H166" s="2">
        <f>Masks[[#This Row],[channel_echo]]</f>
        <v>-8.8858624911921922</v>
      </c>
      <c r="I166" s="2">
        <f>Masks[[#This Row],[channel_echo]]</f>
        <v>-8.8858624911921922</v>
      </c>
      <c r="J166" s="2">
        <f>Calculate[[#This Row],[Echo_transfer_us]]+Calculate[[#This Row],[Tx_PSD_ds]]</f>
        <v>-157.35618788910676</v>
      </c>
      <c r="K166" s="2">
        <f>Calculate[[#This Row],[Echo_transfer_ds]]+Calculate[[#This Row],[Tx_PSD_us]]</f>
        <v>-157.35618788910676</v>
      </c>
      <c r="L166" s="2">
        <f t="shared" si="25"/>
        <v>-140</v>
      </c>
      <c r="M166" s="2">
        <f t="shared" si="26"/>
        <v>-140</v>
      </c>
      <c r="N166" s="2">
        <f t="shared" si="27"/>
        <v>5</v>
      </c>
      <c r="O166" s="2">
        <f t="shared" si="28"/>
        <v>5</v>
      </c>
      <c r="P166" s="2">
        <f>10*LOG10((10^(Calculate[[#This Row],[Rx_echo_us]]/10))-(10^((Masks[[#This Row],[connector_echo]]+Calculate[[#This Row],[Tx_PSD_ds]])/10))*EC_conector_ratio_us)-Calculate[[#This Row],[EC_cancelation_us]]</f>
        <v>-193.47032539792991</v>
      </c>
      <c r="Q166" s="2">
        <f>10*LOG10((10^(Calculate[[#This Row],[Rx_echo_ds]]/10))-(10^((Masks[[#This Row],[connector_echo]]+Calculate[[#This Row],[Tx_PSD_us]])/10))*EC_conector_ratio_ds)-Calculate[[#This Row],[EC_cancelation_ds]]</f>
        <v>-193.47032539792991</v>
      </c>
      <c r="R166" s="2">
        <f>10*LOG10(POWER(10,Calculate[[#This Row],[AFE_noise_us]]/10)+POWER(10,Calculate[[#This Row],[Echo_res_us]]/10))</f>
        <v>-139.99998046781653</v>
      </c>
      <c r="S166" s="2">
        <f>10*LOG10(POWER(10,Calculate[[#This Row],[AFE_noise_ds]]/10)+POWER(10,Calculate[[#This Row],[Echo_res_ds]]/10))</f>
        <v>-139.99998046781653</v>
      </c>
      <c r="T166" s="2">
        <f>Calculate[[#This Row],[Rx_PSD_us]]-Calculate[[#This Row],[Noise_us]]</f>
        <v>-36.077091861177536</v>
      </c>
      <c r="U166" s="2">
        <f>Calculate[[#This Row],[Rx_PSD_ds]]-Calculate[[#This Row],[Noise_ds]]</f>
        <v>-36.077091861177536</v>
      </c>
      <c r="V166" s="2">
        <f>POWER(10,Calculate[[#This Row],[SNRdB_us]]/10)</f>
        <v>2.4676912086489885E-4</v>
      </c>
      <c r="W166" s="2">
        <f>POWER(10,Calculate[[#This Row],[SNRdB_ds]]/10)</f>
        <v>2.4676912086489885E-4</v>
      </c>
      <c r="X166" s="2">
        <f>-(0.002*Calculate[[#This Row],[Freq]]/1000000/2.5+0.68*(Calculate[[#This Row],[Freq]]/1000000/2.5)^0.45)</f>
        <v>-30.785590037054334</v>
      </c>
    </row>
    <row r="167" spans="1:24" x14ac:dyDescent="0.25">
      <c r="A167" s="34">
        <f t="shared" si="29"/>
        <v>7470000000</v>
      </c>
      <c r="B167" s="1">
        <f>Calculate[[#This Row],[Freq]]-A166</f>
        <v>45000000</v>
      </c>
      <c r="C167">
        <f>Channels!B167*cable_length</f>
        <v>-27.713127859868582</v>
      </c>
      <c r="D167" s="2">
        <f>Masks!A167</f>
        <v>-148.47032539791456</v>
      </c>
      <c r="E167" s="2">
        <f>Masks!B167</f>
        <v>-148.47032539791456</v>
      </c>
      <c r="F167" s="2">
        <f>Calculate[[#This Row],[Tx_PSD_us]]+Calculate[[#This Row],[IL]]</f>
        <v>-176.18345325778316</v>
      </c>
      <c r="G167" s="2">
        <f>Calculate[[#This Row],[Tx_PSD_ds]]+Calculate[[#This Row],[IL]]</f>
        <v>-176.18345325778316</v>
      </c>
      <c r="H167" s="2">
        <f>Masks[[#This Row],[channel_echo]]</f>
        <v>-8.8602324171015354</v>
      </c>
      <c r="I167" s="2">
        <f>Masks[[#This Row],[channel_echo]]</f>
        <v>-8.8602324171015354</v>
      </c>
      <c r="J167" s="2">
        <f>Calculate[[#This Row],[Echo_transfer_us]]+Calculate[[#This Row],[Tx_PSD_ds]]</f>
        <v>-157.33055781501611</v>
      </c>
      <c r="K167" s="2">
        <f>Calculate[[#This Row],[Echo_transfer_ds]]+Calculate[[#This Row],[Tx_PSD_us]]</f>
        <v>-157.33055781501611</v>
      </c>
      <c r="L167" s="2">
        <f t="shared" si="25"/>
        <v>-140</v>
      </c>
      <c r="M167" s="2">
        <f t="shared" si="26"/>
        <v>-140</v>
      </c>
      <c r="N167" s="2">
        <f t="shared" si="27"/>
        <v>5</v>
      </c>
      <c r="O167" s="2">
        <f t="shared" si="28"/>
        <v>5</v>
      </c>
      <c r="P167" s="2">
        <f>10*LOG10((10^(Calculate[[#This Row],[Rx_echo_us]]/10))-(10^((Masks[[#This Row],[connector_echo]]+Calculate[[#This Row],[Tx_PSD_ds]])/10))*EC_conector_ratio_us)-Calculate[[#This Row],[EC_cancelation_us]]</f>
        <v>-193.47032539791709</v>
      </c>
      <c r="Q167" s="2">
        <f>10*LOG10((10^(Calculate[[#This Row],[Rx_echo_ds]]/10))-(10^((Masks[[#This Row],[connector_echo]]+Calculate[[#This Row],[Tx_PSD_us]])/10))*EC_conector_ratio_ds)-Calculate[[#This Row],[EC_cancelation_ds]]</f>
        <v>-193.47032539791709</v>
      </c>
      <c r="R167" s="2">
        <f>10*LOG10(POWER(10,Calculate[[#This Row],[AFE_noise_us]]/10)+POWER(10,Calculate[[#This Row],[Echo_res_us]]/10))</f>
        <v>-139.99998046781653</v>
      </c>
      <c r="S167" s="2">
        <f>10*LOG10(POWER(10,Calculate[[#This Row],[AFE_noise_ds]]/10)+POWER(10,Calculate[[#This Row],[Echo_res_ds]]/10))</f>
        <v>-139.99998046781653</v>
      </c>
      <c r="T167" s="2">
        <f>Calculate[[#This Row],[Rx_PSD_us]]-Calculate[[#This Row],[Noise_us]]</f>
        <v>-36.183472789966629</v>
      </c>
      <c r="U167" s="2">
        <f>Calculate[[#This Row],[Rx_PSD_ds]]-Calculate[[#This Row],[Noise_ds]]</f>
        <v>-36.183472789966629</v>
      </c>
      <c r="V167" s="2">
        <f>POWER(10,Calculate[[#This Row],[SNRdB_us]]/10)</f>
        <v>2.4079791435265894E-4</v>
      </c>
      <c r="W167" s="2">
        <f>POWER(10,Calculate[[#This Row],[SNRdB_ds]]/10)</f>
        <v>2.4079791435265894E-4</v>
      </c>
      <c r="X167" s="2">
        <f>-(0.002*Calculate[[#This Row],[Freq]]/1000000/2.5+0.68*(Calculate[[#This Row],[Freq]]/1000000/2.5)^0.45)</f>
        <v>-30.889238154928034</v>
      </c>
    </row>
    <row r="168" spans="1:24" x14ac:dyDescent="0.25">
      <c r="A168" s="34">
        <f t="shared" si="29"/>
        <v>7515000000</v>
      </c>
      <c r="B168" s="1">
        <f>Calculate[[#This Row],[Freq]]-A167</f>
        <v>45000000</v>
      </c>
      <c r="C168">
        <f>Channels!B168*cable_length</f>
        <v>-27.819326084019245</v>
      </c>
      <c r="D168" s="2">
        <f>Masks!A168</f>
        <v>-148.47032539791456</v>
      </c>
      <c r="E168" s="2">
        <f>Masks!B168</f>
        <v>-148.47032539791456</v>
      </c>
      <c r="F168" s="2">
        <f>Calculate[[#This Row],[Tx_PSD_us]]+Calculate[[#This Row],[IL]]</f>
        <v>-176.28965148193382</v>
      </c>
      <c r="G168" s="2">
        <f>Calculate[[#This Row],[Tx_PSD_ds]]+Calculate[[#This Row],[IL]]</f>
        <v>-176.28965148193382</v>
      </c>
      <c r="H168" s="2">
        <f>Masks[[#This Row],[channel_echo]]</f>
        <v>-8.8347527130052654</v>
      </c>
      <c r="I168" s="2">
        <f>Masks[[#This Row],[channel_echo]]</f>
        <v>-8.8347527130052654</v>
      </c>
      <c r="J168" s="2">
        <f>Calculate[[#This Row],[Echo_transfer_us]]+Calculate[[#This Row],[Tx_PSD_ds]]</f>
        <v>-157.30507811091982</v>
      </c>
      <c r="K168" s="2">
        <f>Calculate[[#This Row],[Echo_transfer_ds]]+Calculate[[#This Row],[Tx_PSD_us]]</f>
        <v>-157.30507811091982</v>
      </c>
      <c r="L168" s="2">
        <f t="shared" si="25"/>
        <v>-140</v>
      </c>
      <c r="M168" s="2">
        <f t="shared" si="26"/>
        <v>-140</v>
      </c>
      <c r="N168" s="2">
        <f t="shared" si="27"/>
        <v>5</v>
      </c>
      <c r="O168" s="2">
        <f t="shared" si="28"/>
        <v>5</v>
      </c>
      <c r="P168" s="2">
        <f>10*LOG10((10^(Calculate[[#This Row],[Rx_echo_us]]/10))-(10^((Masks[[#This Row],[connector_echo]]+Calculate[[#This Row],[Tx_PSD_ds]])/10))*EC_conector_ratio_us)-Calculate[[#This Row],[EC_cancelation_us]]</f>
        <v>-193.47032539790578</v>
      </c>
      <c r="Q168" s="2">
        <f>10*LOG10((10^(Calculate[[#This Row],[Rx_echo_ds]]/10))-(10^((Masks[[#This Row],[connector_echo]]+Calculate[[#This Row],[Tx_PSD_us]])/10))*EC_conector_ratio_ds)-Calculate[[#This Row],[EC_cancelation_ds]]</f>
        <v>-193.47032539790578</v>
      </c>
      <c r="R168" s="2">
        <f>10*LOG10(POWER(10,Calculate[[#This Row],[AFE_noise_us]]/10)+POWER(10,Calculate[[#This Row],[Echo_res_us]]/10))</f>
        <v>-139.99998046781653</v>
      </c>
      <c r="S168" s="2">
        <f>10*LOG10(POWER(10,Calculate[[#This Row],[AFE_noise_ds]]/10)+POWER(10,Calculate[[#This Row],[Echo_res_ds]]/10))</f>
        <v>-139.99998046781653</v>
      </c>
      <c r="T168" s="2">
        <f>Calculate[[#This Row],[Rx_PSD_us]]-Calculate[[#This Row],[Noise_us]]</f>
        <v>-36.289671014117289</v>
      </c>
      <c r="U168" s="2">
        <f>Calculate[[#This Row],[Rx_PSD_ds]]-Calculate[[#This Row],[Noise_ds]]</f>
        <v>-36.289671014117289</v>
      </c>
      <c r="V168" s="2">
        <f>POWER(10,Calculate[[#This Row],[SNRdB_us]]/10)</f>
        <v>2.349810816502979E-4</v>
      </c>
      <c r="W168" s="2">
        <f>POWER(10,Calculate[[#This Row],[SNRdB_ds]]/10)</f>
        <v>2.349810816502979E-4</v>
      </c>
      <c r="X168" s="2">
        <f>-(0.002*Calculate[[#This Row],[Freq]]/1000000/2.5+0.68*(Calculate[[#This Row],[Freq]]/1000000/2.5)^0.45)</f>
        <v>-30.992662506647495</v>
      </c>
    </row>
    <row r="169" spans="1:24" x14ac:dyDescent="0.25">
      <c r="A169" s="34">
        <f t="shared" si="29"/>
        <v>7560000000</v>
      </c>
      <c r="B169" s="1">
        <f>Calculate[[#This Row],[Freq]]-A168</f>
        <v>45000000</v>
      </c>
      <c r="C169">
        <f>Channels!B169*cable_length</f>
        <v>-27.92534324215648</v>
      </c>
      <c r="D169" s="2">
        <f>Masks!A169</f>
        <v>-148.47032539791456</v>
      </c>
      <c r="E169" s="2">
        <f>Masks!B169</f>
        <v>-148.47032539791456</v>
      </c>
      <c r="F169" s="2">
        <f>Calculate[[#This Row],[Tx_PSD_us]]+Calculate[[#This Row],[IL]]</f>
        <v>-176.39566864007105</v>
      </c>
      <c r="G169" s="2">
        <f>Calculate[[#This Row],[Tx_PSD_ds]]+Calculate[[#This Row],[IL]]</f>
        <v>-176.39566864007105</v>
      </c>
      <c r="H169" s="2">
        <f>Masks[[#This Row],[channel_echo]]</f>
        <v>-8.8094216247676265</v>
      </c>
      <c r="I169" s="2">
        <f>Masks[[#This Row],[channel_echo]]</f>
        <v>-8.8094216247676265</v>
      </c>
      <c r="J169" s="2">
        <f>Calculate[[#This Row],[Echo_transfer_us]]+Calculate[[#This Row],[Tx_PSD_ds]]</f>
        <v>-157.27974702268219</v>
      </c>
      <c r="K169" s="2">
        <f>Calculate[[#This Row],[Echo_transfer_ds]]+Calculate[[#This Row],[Tx_PSD_us]]</f>
        <v>-157.27974702268219</v>
      </c>
      <c r="L169" s="2">
        <f t="shared" si="25"/>
        <v>-140</v>
      </c>
      <c r="M169" s="2">
        <f t="shared" si="26"/>
        <v>-140</v>
      </c>
      <c r="N169" s="2">
        <f t="shared" si="27"/>
        <v>5</v>
      </c>
      <c r="O169" s="2">
        <f t="shared" si="28"/>
        <v>5</v>
      </c>
      <c r="P169" s="2">
        <f>10*LOG10((10^(Calculate[[#This Row],[Rx_echo_us]]/10))-(10^((Masks[[#This Row],[connector_echo]]+Calculate[[#This Row],[Tx_PSD_ds]])/10))*EC_conector_ratio_us)-Calculate[[#This Row],[EC_cancelation_us]]</f>
        <v>-193.470325397887</v>
      </c>
      <c r="Q169" s="2">
        <f>10*LOG10((10^(Calculate[[#This Row],[Rx_echo_ds]]/10))-(10^((Masks[[#This Row],[connector_echo]]+Calculate[[#This Row],[Tx_PSD_us]])/10))*EC_conector_ratio_ds)-Calculate[[#This Row],[EC_cancelation_ds]]</f>
        <v>-193.470325397887</v>
      </c>
      <c r="R169" s="2">
        <f>10*LOG10(POWER(10,Calculate[[#This Row],[AFE_noise_us]]/10)+POWER(10,Calculate[[#This Row],[Echo_res_us]]/10))</f>
        <v>-139.99998046781653</v>
      </c>
      <c r="S169" s="2">
        <f>10*LOG10(POWER(10,Calculate[[#This Row],[AFE_noise_ds]]/10)+POWER(10,Calculate[[#This Row],[Echo_res_ds]]/10))</f>
        <v>-139.99998046781653</v>
      </c>
      <c r="T169" s="2">
        <f>Calculate[[#This Row],[Rx_PSD_us]]-Calculate[[#This Row],[Noise_us]]</f>
        <v>-36.395688172254523</v>
      </c>
      <c r="U169" s="2">
        <f>Calculate[[#This Row],[Rx_PSD_ds]]-Calculate[[#This Row],[Noise_ds]]</f>
        <v>-36.395688172254523</v>
      </c>
      <c r="V169" s="2">
        <f>POWER(10,Calculate[[#This Row],[SNRdB_us]]/10)</f>
        <v>2.2931432358726936E-4</v>
      </c>
      <c r="W169" s="2">
        <f>POWER(10,Calculate[[#This Row],[SNRdB_ds]]/10)</f>
        <v>2.2931432358726936E-4</v>
      </c>
      <c r="X169" s="2">
        <f>-(0.002*Calculate[[#This Row],[Freq]]/1000000/2.5+0.68*(Calculate[[#This Row],[Freq]]/1000000/2.5)^0.45)</f>
        <v>-31.095865165692743</v>
      </c>
    </row>
    <row r="170" spans="1:24" x14ac:dyDescent="0.25">
      <c r="A170" s="34">
        <f t="shared" si="29"/>
        <v>7605000000</v>
      </c>
      <c r="B170" s="1">
        <f>Calculate[[#This Row],[Freq]]-A169</f>
        <v>45000000</v>
      </c>
      <c r="C170">
        <f>Channels!B170*cable_length</f>
        <v>-28.031180948556852</v>
      </c>
      <c r="D170" s="2">
        <f>Masks!A170</f>
        <v>-148.47032539791456</v>
      </c>
      <c r="E170" s="2">
        <f>Masks!B170</f>
        <v>-148.47032539791456</v>
      </c>
      <c r="F170" s="2">
        <f>Calculate[[#This Row],[Tx_PSD_us]]+Calculate[[#This Row],[IL]]</f>
        <v>-176.50150634647142</v>
      </c>
      <c r="G170" s="2">
        <f>Calculate[[#This Row],[Tx_PSD_ds]]+Calculate[[#This Row],[IL]]</f>
        <v>-176.50150634647142</v>
      </c>
      <c r="H170" s="2">
        <f>Masks[[#This Row],[channel_echo]]</f>
        <v>-8.7842374287691758</v>
      </c>
      <c r="I170" s="2">
        <f>Masks[[#This Row],[channel_echo]]</f>
        <v>-8.7842374287691758</v>
      </c>
      <c r="J170" s="2">
        <f>Calculate[[#This Row],[Echo_transfer_us]]+Calculate[[#This Row],[Tx_PSD_ds]]</f>
        <v>-157.25456282668375</v>
      </c>
      <c r="K170" s="2">
        <f>Calculate[[#This Row],[Echo_transfer_ds]]+Calculate[[#This Row],[Tx_PSD_us]]</f>
        <v>-157.25456282668375</v>
      </c>
      <c r="L170" s="2">
        <f t="shared" si="25"/>
        <v>-140</v>
      </c>
      <c r="M170" s="2">
        <f t="shared" si="26"/>
        <v>-140</v>
      </c>
      <c r="N170" s="2">
        <f t="shared" si="27"/>
        <v>5</v>
      </c>
      <c r="O170" s="2">
        <f t="shared" si="28"/>
        <v>5</v>
      </c>
      <c r="P170" s="2">
        <f>10*LOG10((10^(Calculate[[#This Row],[Rx_echo_us]]/10))-(10^((Masks[[#This Row],[connector_echo]]+Calculate[[#This Row],[Tx_PSD_ds]])/10))*EC_conector_ratio_us)-Calculate[[#This Row],[EC_cancelation_us]]</f>
        <v>-193.47032539788546</v>
      </c>
      <c r="Q170" s="2">
        <f>10*LOG10((10^(Calculate[[#This Row],[Rx_echo_ds]]/10))-(10^((Masks[[#This Row],[connector_echo]]+Calculate[[#This Row],[Tx_PSD_us]])/10))*EC_conector_ratio_ds)-Calculate[[#This Row],[EC_cancelation_ds]]</f>
        <v>-193.47032539788546</v>
      </c>
      <c r="R170" s="2">
        <f>10*LOG10(POWER(10,Calculate[[#This Row],[AFE_noise_us]]/10)+POWER(10,Calculate[[#This Row],[Echo_res_us]]/10))</f>
        <v>-139.99998046781653</v>
      </c>
      <c r="S170" s="2">
        <f>10*LOG10(POWER(10,Calculate[[#This Row],[AFE_noise_ds]]/10)+POWER(10,Calculate[[#This Row],[Echo_res_ds]]/10))</f>
        <v>-139.99998046781653</v>
      </c>
      <c r="T170" s="2">
        <f>Calculate[[#This Row],[Rx_PSD_us]]-Calculate[[#This Row],[Noise_us]]</f>
        <v>-36.501525878654888</v>
      </c>
      <c r="U170" s="2">
        <f>Calculate[[#This Row],[Rx_PSD_ds]]-Calculate[[#This Row],[Noise_ds]]</f>
        <v>-36.501525878654888</v>
      </c>
      <c r="V170" s="2">
        <f>POWER(10,Calculate[[#This Row],[SNRdB_us]]/10)</f>
        <v>2.2379347097949284E-4</v>
      </c>
      <c r="W170" s="2">
        <f>POWER(10,Calculate[[#This Row],[SNRdB_ds]]/10)</f>
        <v>2.2379347097949284E-4</v>
      </c>
      <c r="X170" s="2">
        <f>-(0.002*Calculate[[#This Row],[Freq]]/1000000/2.5+0.68*(Calculate[[#This Row],[Freq]]/1000000/2.5)^0.45)</f>
        <v>-31.198848174122308</v>
      </c>
    </row>
    <row r="171" spans="1:24" x14ac:dyDescent="0.25">
      <c r="A171" s="34">
        <f t="shared" si="29"/>
        <v>7650000000</v>
      </c>
      <c r="B171" s="1">
        <f>Calculate[[#This Row],[Freq]]-A170</f>
        <v>45000000</v>
      </c>
      <c r="C171">
        <f>Channels!B171*cable_length</f>
        <v>-28.136840793652013</v>
      </c>
      <c r="D171" s="2">
        <f>Masks!A171</f>
        <v>-148.47032539791456</v>
      </c>
      <c r="E171" s="2">
        <f>Masks!B171</f>
        <v>-148.47032539791456</v>
      </c>
      <c r="F171" s="2">
        <f>Calculate[[#This Row],[Tx_PSD_us]]+Calculate[[#This Row],[IL]]</f>
        <v>-176.60716619156659</v>
      </c>
      <c r="G171" s="2">
        <f>Calculate[[#This Row],[Tx_PSD_ds]]+Calculate[[#This Row],[IL]]</f>
        <v>-176.60716619156659</v>
      </c>
      <c r="H171" s="2">
        <f>Masks[[#This Row],[channel_echo]]</f>
        <v>-8.7591984312030018</v>
      </c>
      <c r="I171" s="2">
        <f>Masks[[#This Row],[channel_echo]]</f>
        <v>-8.7591984312030018</v>
      </c>
      <c r="J171" s="2">
        <f>Calculate[[#This Row],[Echo_transfer_us]]+Calculate[[#This Row],[Tx_PSD_ds]]</f>
        <v>-157.22952382911757</v>
      </c>
      <c r="K171" s="2">
        <f>Calculate[[#This Row],[Echo_transfer_ds]]+Calculate[[#This Row],[Tx_PSD_us]]</f>
        <v>-157.22952382911757</v>
      </c>
      <c r="L171" s="2">
        <f t="shared" si="25"/>
        <v>-140</v>
      </c>
      <c r="M171" s="2">
        <f t="shared" si="26"/>
        <v>-140</v>
      </c>
      <c r="N171" s="2">
        <f t="shared" si="27"/>
        <v>5</v>
      </c>
      <c r="O171" s="2">
        <f t="shared" si="28"/>
        <v>5</v>
      </c>
      <c r="P171" s="2">
        <f>10*LOG10((10^(Calculate[[#This Row],[Rx_echo_us]]/10))-(10^((Masks[[#This Row],[connector_echo]]+Calculate[[#This Row],[Tx_PSD_ds]])/10))*EC_conector_ratio_us)-Calculate[[#This Row],[EC_cancelation_us]]</f>
        <v>-193.47032539794569</v>
      </c>
      <c r="Q171" s="2">
        <f>10*LOG10((10^(Calculate[[#This Row],[Rx_echo_ds]]/10))-(10^((Masks[[#This Row],[connector_echo]]+Calculate[[#This Row],[Tx_PSD_us]])/10))*EC_conector_ratio_ds)-Calculate[[#This Row],[EC_cancelation_ds]]</f>
        <v>-193.47032539794569</v>
      </c>
      <c r="R171" s="2">
        <f>10*LOG10(POWER(10,Calculate[[#This Row],[AFE_noise_us]]/10)+POWER(10,Calculate[[#This Row],[Echo_res_us]]/10))</f>
        <v>-139.99998046781653</v>
      </c>
      <c r="S171" s="2">
        <f>10*LOG10(POWER(10,Calculate[[#This Row],[AFE_noise_ds]]/10)+POWER(10,Calculate[[#This Row],[Echo_res_ds]]/10))</f>
        <v>-139.99998046781653</v>
      </c>
      <c r="T171" s="2">
        <f>Calculate[[#This Row],[Rx_PSD_us]]-Calculate[[#This Row],[Noise_us]]</f>
        <v>-36.607185723750064</v>
      </c>
      <c r="U171" s="2">
        <f>Calculate[[#This Row],[Rx_PSD_ds]]-Calculate[[#This Row],[Noise_ds]]</f>
        <v>-36.607185723750064</v>
      </c>
      <c r="V171" s="2">
        <f>POWER(10,Calculate[[#This Row],[SNRdB_us]]/10)</f>
        <v>2.18414480333707E-4</v>
      </c>
      <c r="W171" s="2">
        <f>POWER(10,Calculate[[#This Row],[SNRdB_ds]]/10)</f>
        <v>2.18414480333707E-4</v>
      </c>
      <c r="X171" s="2">
        <f>-(0.002*Calculate[[#This Row],[Freq]]/1000000/2.5+0.68*(Calculate[[#This Row],[Freq]]/1000000/2.5)^0.45)</f>
        <v>-31.301613543232243</v>
      </c>
    </row>
    <row r="172" spans="1:24" x14ac:dyDescent="0.25">
      <c r="A172" s="34">
        <f t="shared" si="29"/>
        <v>7695000000</v>
      </c>
      <c r="B172" s="1">
        <f>Calculate[[#This Row],[Freq]]-A171</f>
        <v>45000000</v>
      </c>
      <c r="C172">
        <f>Channels!B172*cable_length</f>
        <v>-28.242324344518877</v>
      </c>
      <c r="D172" s="2">
        <f>Masks!A172</f>
        <v>-148.47032539791456</v>
      </c>
      <c r="E172" s="2">
        <f>Masks!B172</f>
        <v>-148.47032539791456</v>
      </c>
      <c r="F172" s="2">
        <f>Calculate[[#This Row],[Tx_PSD_us]]+Calculate[[#This Row],[IL]]</f>
        <v>-176.71264974243343</v>
      </c>
      <c r="G172" s="2">
        <f>Calculate[[#This Row],[Tx_PSD_ds]]+Calculate[[#This Row],[IL]]</f>
        <v>-176.71264974243343</v>
      </c>
      <c r="H172" s="2">
        <f>Masks[[#This Row],[channel_echo]]</f>
        <v>-8.7343029673911321</v>
      </c>
      <c r="I172" s="2">
        <f>Masks[[#This Row],[channel_echo]]</f>
        <v>-8.7343029673911321</v>
      </c>
      <c r="J172" s="2">
        <f>Calculate[[#This Row],[Echo_transfer_us]]+Calculate[[#This Row],[Tx_PSD_ds]]</f>
        <v>-157.20462836530569</v>
      </c>
      <c r="K172" s="2">
        <f>Calculate[[#This Row],[Echo_transfer_ds]]+Calculate[[#This Row],[Tx_PSD_us]]</f>
        <v>-157.20462836530569</v>
      </c>
      <c r="L172" s="2">
        <f t="shared" si="25"/>
        <v>-140</v>
      </c>
      <c r="M172" s="2">
        <f t="shared" si="26"/>
        <v>-140</v>
      </c>
      <c r="N172" s="2">
        <f t="shared" si="27"/>
        <v>5</v>
      </c>
      <c r="O172" s="2">
        <f t="shared" si="28"/>
        <v>5</v>
      </c>
      <c r="P172" s="2">
        <f>10*LOG10((10^(Calculate[[#This Row],[Rx_echo_us]]/10))-(10^((Masks[[#This Row],[connector_echo]]+Calculate[[#This Row],[Tx_PSD_ds]])/10))*EC_conector_ratio_us)-Calculate[[#This Row],[EC_cancelation_us]]</f>
        <v>-193.47032539792616</v>
      </c>
      <c r="Q172" s="2">
        <f>10*LOG10((10^(Calculate[[#This Row],[Rx_echo_ds]]/10))-(10^((Masks[[#This Row],[connector_echo]]+Calculate[[#This Row],[Tx_PSD_us]])/10))*EC_conector_ratio_ds)-Calculate[[#This Row],[EC_cancelation_ds]]</f>
        <v>-193.47032539792616</v>
      </c>
      <c r="R172" s="2">
        <f>10*LOG10(POWER(10,Calculate[[#This Row],[AFE_noise_us]]/10)+POWER(10,Calculate[[#This Row],[Echo_res_us]]/10))</f>
        <v>-139.99998046781653</v>
      </c>
      <c r="S172" s="2">
        <f>10*LOG10(POWER(10,Calculate[[#This Row],[AFE_noise_ds]]/10)+POWER(10,Calculate[[#This Row],[Echo_res_ds]]/10))</f>
        <v>-139.99998046781653</v>
      </c>
      <c r="T172" s="2">
        <f>Calculate[[#This Row],[Rx_PSD_us]]-Calculate[[#This Row],[Noise_us]]</f>
        <v>-36.7126692746169</v>
      </c>
      <c r="U172" s="2">
        <f>Calculate[[#This Row],[Rx_PSD_ds]]-Calculate[[#This Row],[Noise_ds]]</f>
        <v>-36.7126692746169</v>
      </c>
      <c r="V172" s="2">
        <f>POWER(10,Calculate[[#This Row],[SNRdB_us]]/10)</f>
        <v>2.131734297077465E-4</v>
      </c>
      <c r="W172" s="2">
        <f>POWER(10,Calculate[[#This Row],[SNRdB_ds]]/10)</f>
        <v>2.131734297077465E-4</v>
      </c>
      <c r="X172" s="2">
        <f>-(0.002*Calculate[[#This Row],[Freq]]/1000000/2.5+0.68*(Calculate[[#This Row],[Freq]]/1000000/2.5)^0.45)</f>
        <v>-31.404163254197364</v>
      </c>
    </row>
    <row r="173" spans="1:24" x14ac:dyDescent="0.25">
      <c r="A173" s="34">
        <f t="shared" si="29"/>
        <v>7740000000</v>
      </c>
      <c r="B173" s="1">
        <f>Calculate[[#This Row],[Freq]]-A172</f>
        <v>45000000</v>
      </c>
      <c r="C173">
        <f>Channels!B173*cable_length</f>
        <v>-28.347633145356994</v>
      </c>
      <c r="D173" s="2">
        <f>Masks!A173</f>
        <v>-148.47032539791456</v>
      </c>
      <c r="E173" s="2">
        <f>Masks!B173</f>
        <v>-148.47032539791456</v>
      </c>
      <c r="F173" s="2">
        <f>Calculate[[#This Row],[Tx_PSD_us]]+Calculate[[#This Row],[IL]]</f>
        <v>-176.81795854327157</v>
      </c>
      <c r="G173" s="2">
        <f>Calculate[[#This Row],[Tx_PSD_ds]]+Calculate[[#This Row],[IL]]</f>
        <v>-176.81795854327157</v>
      </c>
      <c r="H173" s="2">
        <f>Masks[[#This Row],[channel_echo]]</f>
        <v>-8.7095494011204213</v>
      </c>
      <c r="I173" s="2">
        <f>Masks[[#This Row],[channel_echo]]</f>
        <v>-8.7095494011204213</v>
      </c>
      <c r="J173" s="2">
        <f>Calculate[[#This Row],[Echo_transfer_us]]+Calculate[[#This Row],[Tx_PSD_ds]]</f>
        <v>-157.17987479903499</v>
      </c>
      <c r="K173" s="2">
        <f>Calculate[[#This Row],[Echo_transfer_ds]]+Calculate[[#This Row],[Tx_PSD_us]]</f>
        <v>-157.17987479903499</v>
      </c>
      <c r="L173" s="2">
        <f t="shared" si="25"/>
        <v>-140</v>
      </c>
      <c r="M173" s="2">
        <f t="shared" si="26"/>
        <v>-140</v>
      </c>
      <c r="N173" s="2">
        <f t="shared" si="27"/>
        <v>5</v>
      </c>
      <c r="O173" s="2">
        <f t="shared" si="28"/>
        <v>5</v>
      </c>
      <c r="P173" s="2">
        <f>10*LOG10((10^(Calculate[[#This Row],[Rx_echo_us]]/10))-(10^((Masks[[#This Row],[connector_echo]]+Calculate[[#This Row],[Tx_PSD_ds]])/10))*EC_conector_ratio_us)-Calculate[[#This Row],[EC_cancelation_us]]</f>
        <v>-193.47032539794043</v>
      </c>
      <c r="Q173" s="2">
        <f>10*LOG10((10^(Calculate[[#This Row],[Rx_echo_ds]]/10))-(10^((Masks[[#This Row],[connector_echo]]+Calculate[[#This Row],[Tx_PSD_us]])/10))*EC_conector_ratio_ds)-Calculate[[#This Row],[EC_cancelation_ds]]</f>
        <v>-193.47032539794043</v>
      </c>
      <c r="R173" s="2">
        <f>10*LOG10(POWER(10,Calculate[[#This Row],[AFE_noise_us]]/10)+POWER(10,Calculate[[#This Row],[Echo_res_us]]/10))</f>
        <v>-139.99998046781653</v>
      </c>
      <c r="S173" s="2">
        <f>10*LOG10(POWER(10,Calculate[[#This Row],[AFE_noise_ds]]/10)+POWER(10,Calculate[[#This Row],[Echo_res_ds]]/10))</f>
        <v>-139.99998046781653</v>
      </c>
      <c r="T173" s="2">
        <f>Calculate[[#This Row],[Rx_PSD_us]]-Calculate[[#This Row],[Noise_us]]</f>
        <v>-36.817978075455045</v>
      </c>
      <c r="U173" s="2">
        <f>Calculate[[#This Row],[Rx_PSD_ds]]-Calculate[[#This Row],[Noise_ds]]</f>
        <v>-36.817978075455045</v>
      </c>
      <c r="V173" s="2">
        <f>POWER(10,Calculate[[#This Row],[SNRdB_us]]/10)</f>
        <v>2.0806651472047601E-4</v>
      </c>
      <c r="W173" s="2">
        <f>POWER(10,Calculate[[#This Row],[SNRdB_ds]]/10)</f>
        <v>2.0806651472047601E-4</v>
      </c>
      <c r="X173" s="2">
        <f>-(0.002*Calculate[[#This Row],[Freq]]/1000000/2.5+0.68*(Calculate[[#This Row],[Freq]]/1000000/2.5)^0.45)</f>
        <v>-31.506499258695705</v>
      </c>
    </row>
    <row r="174" spans="1:24" x14ac:dyDescent="0.25">
      <c r="A174" s="34">
        <f t="shared" si="29"/>
        <v>7785000000</v>
      </c>
      <c r="B174" s="1">
        <f>Calculate[[#This Row],[Freq]]-A173</f>
        <v>45000000</v>
      </c>
      <c r="C174">
        <f>Channels!B174*cable_length</f>
        <v>-28.452768717953397</v>
      </c>
      <c r="D174" s="2">
        <f>Masks!A174</f>
        <v>-148.47032539791456</v>
      </c>
      <c r="E174" s="2">
        <f>Masks!B174</f>
        <v>-148.47032539791456</v>
      </c>
      <c r="F174" s="2">
        <f>Calculate[[#This Row],[Tx_PSD_us]]+Calculate[[#This Row],[IL]]</f>
        <v>-176.92309411586797</v>
      </c>
      <c r="G174" s="2">
        <f>Calculate[[#This Row],[Tx_PSD_ds]]+Calculate[[#This Row],[IL]]</f>
        <v>-176.92309411586797</v>
      </c>
      <c r="H174" s="2">
        <f>Masks[[#This Row],[channel_echo]]</f>
        <v>-8.6849361239972538</v>
      </c>
      <c r="I174" s="2">
        <f>Masks[[#This Row],[channel_echo]]</f>
        <v>-8.6849361239972538</v>
      </c>
      <c r="J174" s="2">
        <f>Calculate[[#This Row],[Echo_transfer_us]]+Calculate[[#This Row],[Tx_PSD_ds]]</f>
        <v>-157.15526152191183</v>
      </c>
      <c r="K174" s="2">
        <f>Calculate[[#This Row],[Echo_transfer_ds]]+Calculate[[#This Row],[Tx_PSD_us]]</f>
        <v>-157.15526152191183</v>
      </c>
      <c r="L174" s="2">
        <f t="shared" si="25"/>
        <v>-140</v>
      </c>
      <c r="M174" s="2">
        <f t="shared" si="26"/>
        <v>-140</v>
      </c>
      <c r="N174" s="2">
        <f t="shared" si="27"/>
        <v>5</v>
      </c>
      <c r="O174" s="2">
        <f t="shared" si="28"/>
        <v>5</v>
      </c>
      <c r="P174" s="2">
        <f>10*LOG10((10^(Calculate[[#This Row],[Rx_echo_us]]/10))-(10^((Masks[[#This Row],[connector_echo]]+Calculate[[#This Row],[Tx_PSD_ds]])/10))*EC_conector_ratio_us)-Calculate[[#This Row],[EC_cancelation_us]]</f>
        <v>-193.47032539795924</v>
      </c>
      <c r="Q174" s="2">
        <f>10*LOG10((10^(Calculate[[#This Row],[Rx_echo_ds]]/10))-(10^((Masks[[#This Row],[connector_echo]]+Calculate[[#This Row],[Tx_PSD_us]])/10))*EC_conector_ratio_ds)-Calculate[[#This Row],[EC_cancelation_ds]]</f>
        <v>-193.47032539795924</v>
      </c>
      <c r="R174" s="2">
        <f>10*LOG10(POWER(10,Calculate[[#This Row],[AFE_noise_us]]/10)+POWER(10,Calculate[[#This Row],[Echo_res_us]]/10))</f>
        <v>-139.99998046781653</v>
      </c>
      <c r="S174" s="2">
        <f>10*LOG10(POWER(10,Calculate[[#This Row],[AFE_noise_ds]]/10)+POWER(10,Calculate[[#This Row],[Echo_res_ds]]/10))</f>
        <v>-139.99998046781653</v>
      </c>
      <c r="T174" s="2">
        <f>Calculate[[#This Row],[Rx_PSD_us]]-Calculate[[#This Row],[Noise_us]]</f>
        <v>-36.923113648051441</v>
      </c>
      <c r="U174" s="2">
        <f>Calculate[[#This Row],[Rx_PSD_ds]]-Calculate[[#This Row],[Noise_ds]]</f>
        <v>-36.923113648051441</v>
      </c>
      <c r="V174" s="2">
        <f>POWER(10,Calculate[[#This Row],[SNRdB_us]]/10)</f>
        <v>2.030900447054817E-4</v>
      </c>
      <c r="W174" s="2">
        <f>POWER(10,Calculate[[#This Row],[SNRdB_ds]]/10)</f>
        <v>2.030900447054817E-4</v>
      </c>
      <c r="X174" s="2">
        <f>-(0.002*Calculate[[#This Row],[Freq]]/1000000/2.5+0.68*(Calculate[[#This Row],[Freq]]/1000000/2.5)^0.45)</f>
        <v>-31.608623479516254</v>
      </c>
    </row>
    <row r="175" spans="1:24" x14ac:dyDescent="0.25">
      <c r="A175" s="34">
        <f t="shared" si="29"/>
        <v>7830000000</v>
      </c>
      <c r="B175" s="1">
        <f>Calculate[[#This Row],[Freq]]-A174</f>
        <v>45000000</v>
      </c>
      <c r="C175">
        <f>Channels!B175*cable_length</f>
        <v>-28.557732562135392</v>
      </c>
      <c r="D175" s="2">
        <f>Masks!A175</f>
        <v>-148.47032539791456</v>
      </c>
      <c r="E175" s="2">
        <f>Masks!B175</f>
        <v>-148.47032539791456</v>
      </c>
      <c r="F175" s="2">
        <f>Calculate[[#This Row],[Tx_PSD_us]]+Calculate[[#This Row],[IL]]</f>
        <v>-177.02805796004995</v>
      </c>
      <c r="G175" s="2">
        <f>Calculate[[#This Row],[Tx_PSD_ds]]+Calculate[[#This Row],[IL]]</f>
        <v>-177.02805796004995</v>
      </c>
      <c r="H175" s="2">
        <f>Masks[[#This Row],[channel_echo]]</f>
        <v>-8.6604615548204311</v>
      </c>
      <c r="I175" s="2">
        <f>Masks[[#This Row],[channel_echo]]</f>
        <v>-8.6604615548204311</v>
      </c>
      <c r="J175" s="2">
        <f>Calculate[[#This Row],[Echo_transfer_us]]+Calculate[[#This Row],[Tx_PSD_ds]]</f>
        <v>-157.13078695273501</v>
      </c>
      <c r="K175" s="2">
        <f>Calculate[[#This Row],[Echo_transfer_ds]]+Calculate[[#This Row],[Tx_PSD_us]]</f>
        <v>-157.13078695273501</v>
      </c>
      <c r="L175" s="2">
        <f t="shared" si="25"/>
        <v>-140</v>
      </c>
      <c r="M175" s="2">
        <f t="shared" si="26"/>
        <v>-140</v>
      </c>
      <c r="N175" s="2">
        <f t="shared" si="27"/>
        <v>5</v>
      </c>
      <c r="O175" s="2">
        <f t="shared" si="28"/>
        <v>5</v>
      </c>
      <c r="P175" s="2">
        <f>10*LOG10((10^(Calculate[[#This Row],[Rx_echo_us]]/10))-(10^((Masks[[#This Row],[connector_echo]]+Calculate[[#This Row],[Tx_PSD_ds]])/10))*EC_conector_ratio_us)-Calculate[[#This Row],[EC_cancelation_us]]</f>
        <v>-193.47032539794043</v>
      </c>
      <c r="Q175" s="2">
        <f>10*LOG10((10^(Calculate[[#This Row],[Rx_echo_ds]]/10))-(10^((Masks[[#This Row],[connector_echo]]+Calculate[[#This Row],[Tx_PSD_us]])/10))*EC_conector_ratio_ds)-Calculate[[#This Row],[EC_cancelation_ds]]</f>
        <v>-193.47032539794043</v>
      </c>
      <c r="R175" s="2">
        <f>10*LOG10(POWER(10,Calculate[[#This Row],[AFE_noise_us]]/10)+POWER(10,Calculate[[#This Row],[Echo_res_us]]/10))</f>
        <v>-139.99998046781653</v>
      </c>
      <c r="S175" s="2">
        <f>10*LOG10(POWER(10,Calculate[[#This Row],[AFE_noise_ds]]/10)+POWER(10,Calculate[[#This Row],[Echo_res_ds]]/10))</f>
        <v>-139.99998046781653</v>
      </c>
      <c r="T175" s="2">
        <f>Calculate[[#This Row],[Rx_PSD_us]]-Calculate[[#This Row],[Noise_us]]</f>
        <v>-37.028077492233422</v>
      </c>
      <c r="U175" s="2">
        <f>Calculate[[#This Row],[Rx_PSD_ds]]-Calculate[[#This Row],[Noise_ds]]</f>
        <v>-37.028077492233422</v>
      </c>
      <c r="V175" s="2">
        <f>POWER(10,Calculate[[#This Row],[SNRdB_us]]/10)</f>
        <v>1.9824043900275578E-4</v>
      </c>
      <c r="W175" s="2">
        <f>POWER(10,Calculate[[#This Row],[SNRdB_ds]]/10)</f>
        <v>1.9824043900275578E-4</v>
      </c>
      <c r="X175" s="2">
        <f>-(0.002*Calculate[[#This Row],[Freq]]/1000000/2.5+0.68*(Calculate[[#This Row],[Freq]]/1000000/2.5)^0.45)</f>
        <v>-31.710537811150946</v>
      </c>
    </row>
    <row r="176" spans="1:24" x14ac:dyDescent="0.25">
      <c r="A176" s="34">
        <f t="shared" si="29"/>
        <v>7875000000</v>
      </c>
      <c r="B176" s="1">
        <f>Calculate[[#This Row],[Freq]]-A175</f>
        <v>45000000</v>
      </c>
      <c r="C176">
        <f>Channels!B176*cable_length</f>
        <v>-28.662526156211637</v>
      </c>
      <c r="D176" s="2">
        <f>Masks!A176</f>
        <v>-148.47032539791456</v>
      </c>
      <c r="E176" s="2">
        <f>Masks!B176</f>
        <v>-148.47032539791456</v>
      </c>
      <c r="F176" s="2">
        <f>Calculate[[#This Row],[Tx_PSD_us]]+Calculate[[#This Row],[IL]]</f>
        <v>-177.1328515541262</v>
      </c>
      <c r="G176" s="2">
        <f>Calculate[[#This Row],[Tx_PSD_ds]]+Calculate[[#This Row],[IL]]</f>
        <v>-177.1328515541262</v>
      </c>
      <c r="H176" s="2">
        <f>Masks[[#This Row],[channel_echo]]</f>
        <v>-8.6361241389716294</v>
      </c>
      <c r="I176" s="2">
        <f>Masks[[#This Row],[channel_echo]]</f>
        <v>-8.6361241389716294</v>
      </c>
      <c r="J176" s="2">
        <f>Calculate[[#This Row],[Echo_transfer_us]]+Calculate[[#This Row],[Tx_PSD_ds]]</f>
        <v>-157.1064495368862</v>
      </c>
      <c r="K176" s="2">
        <f>Calculate[[#This Row],[Echo_transfer_ds]]+Calculate[[#This Row],[Tx_PSD_us]]</f>
        <v>-157.1064495368862</v>
      </c>
      <c r="L176" s="2">
        <f t="shared" si="25"/>
        <v>-140</v>
      </c>
      <c r="M176" s="2">
        <f t="shared" si="26"/>
        <v>-140</v>
      </c>
      <c r="N176" s="2">
        <f t="shared" si="27"/>
        <v>5</v>
      </c>
      <c r="O176" s="2">
        <f t="shared" si="28"/>
        <v>5</v>
      </c>
      <c r="P176" s="2">
        <f>10*LOG10((10^(Calculate[[#This Row],[Rx_echo_us]]/10))-(10^((Masks[[#This Row],[connector_echo]]+Calculate[[#This Row],[Tx_PSD_ds]])/10))*EC_conector_ratio_us)-Calculate[[#This Row],[EC_cancelation_us]]</f>
        <v>-193.47032539790354</v>
      </c>
      <c r="Q176" s="2">
        <f>10*LOG10((10^(Calculate[[#This Row],[Rx_echo_ds]]/10))-(10^((Masks[[#This Row],[connector_echo]]+Calculate[[#This Row],[Tx_PSD_us]])/10))*EC_conector_ratio_ds)-Calculate[[#This Row],[EC_cancelation_ds]]</f>
        <v>-193.47032539790354</v>
      </c>
      <c r="R176" s="2">
        <f>10*LOG10(POWER(10,Calculate[[#This Row],[AFE_noise_us]]/10)+POWER(10,Calculate[[#This Row],[Echo_res_us]]/10))</f>
        <v>-139.99998046781653</v>
      </c>
      <c r="S176" s="2">
        <f>10*LOG10(POWER(10,Calculate[[#This Row],[AFE_noise_ds]]/10)+POWER(10,Calculate[[#This Row],[Echo_res_ds]]/10))</f>
        <v>-139.99998046781653</v>
      </c>
      <c r="T176" s="2">
        <f>Calculate[[#This Row],[Rx_PSD_us]]-Calculate[[#This Row],[Noise_us]]</f>
        <v>-37.132871086309677</v>
      </c>
      <c r="U176" s="2">
        <f>Calculate[[#This Row],[Rx_PSD_ds]]-Calculate[[#This Row],[Noise_ds]]</f>
        <v>-37.132871086309677</v>
      </c>
      <c r="V176" s="2">
        <f>POWER(10,Calculate[[#This Row],[SNRdB_us]]/10)</f>
        <v>1.9351422338298747E-4</v>
      </c>
      <c r="W176" s="2">
        <f>POWER(10,Calculate[[#This Row],[SNRdB_ds]]/10)</f>
        <v>1.9351422338298747E-4</v>
      </c>
      <c r="X176" s="2">
        <f>-(0.002*Calculate[[#This Row],[Freq]]/1000000/2.5+0.68*(Calculate[[#This Row],[Freq]]/1000000/2.5)^0.45)</f>
        <v>-31.812244120370963</v>
      </c>
    </row>
    <row r="177" spans="1:24" x14ac:dyDescent="0.25">
      <c r="A177" s="34">
        <f t="shared" si="29"/>
        <v>7920000000</v>
      </c>
      <c r="B177" s="1">
        <f>Calculate[[#This Row],[Freq]]-A176</f>
        <v>45000000</v>
      </c>
      <c r="C177">
        <f>Channels!B177*cable_length</f>
        <v>-28.767150957401917</v>
      </c>
      <c r="D177" s="2">
        <f>Masks!A177</f>
        <v>-148.47032539791456</v>
      </c>
      <c r="E177" s="2">
        <f>Masks!B177</f>
        <v>-148.47032539791456</v>
      </c>
      <c r="F177" s="2">
        <f>Calculate[[#This Row],[Tx_PSD_us]]+Calculate[[#This Row],[IL]]</f>
        <v>-177.23747635531649</v>
      </c>
      <c r="G177" s="2">
        <f>Calculate[[#This Row],[Tx_PSD_ds]]+Calculate[[#This Row],[IL]]</f>
        <v>-177.23747635531649</v>
      </c>
      <c r="H177" s="2">
        <f>Masks[[#This Row],[channel_echo]]</f>
        <v>-8.6119223478228584</v>
      </c>
      <c r="I177" s="2">
        <f>Masks[[#This Row],[channel_echo]]</f>
        <v>-8.6119223478228584</v>
      </c>
      <c r="J177" s="2">
        <f>Calculate[[#This Row],[Echo_transfer_us]]+Calculate[[#This Row],[Tx_PSD_ds]]</f>
        <v>-157.08224774573742</v>
      </c>
      <c r="K177" s="2">
        <f>Calculate[[#This Row],[Echo_transfer_ds]]+Calculate[[#This Row],[Tx_PSD_us]]</f>
        <v>-157.08224774573742</v>
      </c>
      <c r="L177" s="2">
        <f t="shared" si="25"/>
        <v>-140</v>
      </c>
      <c r="M177" s="2">
        <f t="shared" si="26"/>
        <v>-140</v>
      </c>
      <c r="N177" s="2">
        <f t="shared" si="27"/>
        <v>5</v>
      </c>
      <c r="O177" s="2">
        <f t="shared" si="28"/>
        <v>5</v>
      </c>
      <c r="P177" s="2">
        <f>10*LOG10((10^(Calculate[[#This Row],[Rx_echo_us]]/10))-(10^((Masks[[#This Row],[connector_echo]]+Calculate[[#This Row],[Tx_PSD_ds]])/10))*EC_conector_ratio_us)-Calculate[[#This Row],[EC_cancelation_us]]</f>
        <v>-193.47032539792838</v>
      </c>
      <c r="Q177" s="2">
        <f>10*LOG10((10^(Calculate[[#This Row],[Rx_echo_ds]]/10))-(10^((Masks[[#This Row],[connector_echo]]+Calculate[[#This Row],[Tx_PSD_us]])/10))*EC_conector_ratio_ds)-Calculate[[#This Row],[EC_cancelation_ds]]</f>
        <v>-193.47032539792838</v>
      </c>
      <c r="R177" s="2">
        <f>10*LOG10(POWER(10,Calculate[[#This Row],[AFE_noise_us]]/10)+POWER(10,Calculate[[#This Row],[Echo_res_us]]/10))</f>
        <v>-139.99998046781653</v>
      </c>
      <c r="S177" s="2">
        <f>10*LOG10(POWER(10,Calculate[[#This Row],[AFE_noise_ds]]/10)+POWER(10,Calculate[[#This Row],[Echo_res_ds]]/10))</f>
        <v>-139.99998046781653</v>
      </c>
      <c r="T177" s="2">
        <f>Calculate[[#This Row],[Rx_PSD_us]]-Calculate[[#This Row],[Noise_us]]</f>
        <v>-37.237495887499961</v>
      </c>
      <c r="U177" s="2">
        <f>Calculate[[#This Row],[Rx_PSD_ds]]-Calculate[[#This Row],[Noise_ds]]</f>
        <v>-37.237495887499961</v>
      </c>
      <c r="V177" s="2">
        <f>POWER(10,Calculate[[#This Row],[SNRdB_us]]/10)</f>
        <v>1.8890802659921965E-4</v>
      </c>
      <c r="W177" s="2">
        <f>POWER(10,Calculate[[#This Row],[SNRdB_ds]]/10)</f>
        <v>1.8890802659921965E-4</v>
      </c>
      <c r="X177" s="2">
        <f>-(0.002*Calculate[[#This Row],[Freq]]/1000000/2.5+0.68*(Calculate[[#This Row],[Freq]]/1000000/2.5)^0.45)</f>
        <v>-31.913744246788333</v>
      </c>
    </row>
    <row r="178" spans="1:24" x14ac:dyDescent="0.25">
      <c r="A178" s="34">
        <f t="shared" si="29"/>
        <v>7965000000</v>
      </c>
      <c r="B178" s="1">
        <f>Calculate[[#This Row],[Freq]]-A177</f>
        <v>45000000</v>
      </c>
      <c r="C178">
        <f>Channels!B178*cable_length</f>
        <v>-28.871608402255951</v>
      </c>
      <c r="D178" s="2">
        <f>Masks!A178</f>
        <v>-148.47032539791456</v>
      </c>
      <c r="E178" s="2">
        <f>Masks!B178</f>
        <v>-148.47032539791456</v>
      </c>
      <c r="F178" s="2">
        <f>Calculate[[#This Row],[Tx_PSD_us]]+Calculate[[#This Row],[IL]]</f>
        <v>-177.34193380017052</v>
      </c>
      <c r="G178" s="2">
        <f>Calculate[[#This Row],[Tx_PSD_ds]]+Calculate[[#This Row],[IL]]</f>
        <v>-177.34193380017052</v>
      </c>
      <c r="H178" s="2">
        <f>Masks[[#This Row],[channel_echo]]</f>
        <v>-8.5878546781602907</v>
      </c>
      <c r="I178" s="2">
        <f>Masks[[#This Row],[channel_echo]]</f>
        <v>-8.5878546781602907</v>
      </c>
      <c r="J178" s="2">
        <f>Calculate[[#This Row],[Echo_transfer_us]]+Calculate[[#This Row],[Tx_PSD_ds]]</f>
        <v>-157.05818007607485</v>
      </c>
      <c r="K178" s="2">
        <f>Calculate[[#This Row],[Echo_transfer_ds]]+Calculate[[#This Row],[Tx_PSD_us]]</f>
        <v>-157.05818007607485</v>
      </c>
      <c r="L178" s="2">
        <f t="shared" si="25"/>
        <v>-140</v>
      </c>
      <c r="M178" s="2">
        <f t="shared" si="26"/>
        <v>-140</v>
      </c>
      <c r="N178" s="2">
        <f t="shared" si="27"/>
        <v>5</v>
      </c>
      <c r="O178" s="2">
        <f t="shared" si="28"/>
        <v>5</v>
      </c>
      <c r="P178" s="2">
        <f>10*LOG10((10^(Calculate[[#This Row],[Rx_echo_us]]/10))-(10^((Masks[[#This Row],[connector_echo]]+Calculate[[#This Row],[Tx_PSD_ds]])/10))*EC_conector_ratio_us)-Calculate[[#This Row],[EC_cancelation_us]]</f>
        <v>-193.47032539788546</v>
      </c>
      <c r="Q178" s="2">
        <f>10*LOG10((10^(Calculate[[#This Row],[Rx_echo_ds]]/10))-(10^((Masks[[#This Row],[connector_echo]]+Calculate[[#This Row],[Tx_PSD_us]])/10))*EC_conector_ratio_ds)-Calculate[[#This Row],[EC_cancelation_ds]]</f>
        <v>-193.47032539788546</v>
      </c>
      <c r="R178" s="2">
        <f>10*LOG10(POWER(10,Calculate[[#This Row],[AFE_noise_us]]/10)+POWER(10,Calculate[[#This Row],[Echo_res_us]]/10))</f>
        <v>-139.99998046781653</v>
      </c>
      <c r="S178" s="2">
        <f>10*LOG10(POWER(10,Calculate[[#This Row],[AFE_noise_ds]]/10)+POWER(10,Calculate[[#This Row],[Echo_res_ds]]/10))</f>
        <v>-139.99998046781653</v>
      </c>
      <c r="T178" s="2">
        <f>Calculate[[#This Row],[Rx_PSD_us]]-Calculate[[#This Row],[Noise_us]]</f>
        <v>-37.341953332353995</v>
      </c>
      <c r="U178" s="2">
        <f>Calculate[[#This Row],[Rx_PSD_ds]]-Calculate[[#This Row],[Noise_ds]]</f>
        <v>-37.341953332353995</v>
      </c>
      <c r="V178" s="2">
        <f>POWER(10,Calculate[[#This Row],[SNRdB_us]]/10)</f>
        <v>1.8441857706088347E-4</v>
      </c>
      <c r="W178" s="2">
        <f>POWER(10,Calculate[[#This Row],[SNRdB_ds]]/10)</f>
        <v>1.8441857706088347E-4</v>
      </c>
      <c r="X178" s="2">
        <f>-(0.002*Calculate[[#This Row],[Freq]]/1000000/2.5+0.68*(Calculate[[#This Row],[Freq]]/1000000/2.5)^0.45)</f>
        <v>-32.01504000340276</v>
      </c>
    </row>
    <row r="179" spans="1:24" x14ac:dyDescent="0.25">
      <c r="A179" s="34">
        <f t="shared" si="29"/>
        <v>8010000000</v>
      </c>
      <c r="B179" s="1">
        <f>Calculate[[#This Row],[Freq]]-A178</f>
        <v>45000000</v>
      </c>
      <c r="C179">
        <f>Channels!B179*cable_length</f>
        <v>-28.975899907061535</v>
      </c>
      <c r="D179" s="2">
        <f>Masks!A179</f>
        <v>-148.47032539791456</v>
      </c>
      <c r="E179" s="2">
        <f>Masks!B179</f>
        <v>-148.47032539791456</v>
      </c>
      <c r="F179" s="2">
        <f>Calculate[[#This Row],[Tx_PSD_us]]+Calculate[[#This Row],[IL]]</f>
        <v>-177.44622530497611</v>
      </c>
      <c r="G179" s="2">
        <f>Calculate[[#This Row],[Tx_PSD_ds]]+Calculate[[#This Row],[IL]]</f>
        <v>-177.44622530497611</v>
      </c>
      <c r="H179" s="2">
        <f>Masks[[#This Row],[channel_echo]]</f>
        <v>-8.5639196516240439</v>
      </c>
      <c r="I179" s="2">
        <f>Masks[[#This Row],[channel_echo]]</f>
        <v>-8.5639196516240439</v>
      </c>
      <c r="J179" s="2">
        <f>Calculate[[#This Row],[Echo_transfer_us]]+Calculate[[#This Row],[Tx_PSD_ds]]</f>
        <v>-157.03424504953861</v>
      </c>
      <c r="K179" s="2">
        <f>Calculate[[#This Row],[Echo_transfer_ds]]+Calculate[[#This Row],[Tx_PSD_us]]</f>
        <v>-157.03424504953861</v>
      </c>
      <c r="L179" s="2">
        <f t="shared" si="25"/>
        <v>-140</v>
      </c>
      <c r="M179" s="2">
        <f t="shared" si="26"/>
        <v>-140</v>
      </c>
      <c r="N179" s="2">
        <f t="shared" si="27"/>
        <v>5</v>
      </c>
      <c r="O179" s="2">
        <f t="shared" si="28"/>
        <v>5</v>
      </c>
      <c r="P179" s="2">
        <f>10*LOG10((10^(Calculate[[#This Row],[Rx_echo_us]]/10))-(10^((Masks[[#This Row],[connector_echo]]+Calculate[[#This Row],[Tx_PSD_ds]])/10))*EC_conector_ratio_us)-Calculate[[#This Row],[EC_cancelation_us]]</f>
        <v>-193.47032539796982</v>
      </c>
      <c r="Q179" s="2">
        <f>10*LOG10((10^(Calculate[[#This Row],[Rx_echo_ds]]/10))-(10^((Masks[[#This Row],[connector_echo]]+Calculate[[#This Row],[Tx_PSD_us]])/10))*EC_conector_ratio_ds)-Calculate[[#This Row],[EC_cancelation_ds]]</f>
        <v>-193.47032539796982</v>
      </c>
      <c r="R179" s="2">
        <f>10*LOG10(POWER(10,Calculate[[#This Row],[AFE_noise_us]]/10)+POWER(10,Calculate[[#This Row],[Echo_res_us]]/10))</f>
        <v>-139.99998046781653</v>
      </c>
      <c r="S179" s="2">
        <f>10*LOG10(POWER(10,Calculate[[#This Row],[AFE_noise_ds]]/10)+POWER(10,Calculate[[#This Row],[Echo_res_ds]]/10))</f>
        <v>-139.99998046781653</v>
      </c>
      <c r="T179" s="2">
        <f>Calculate[[#This Row],[Rx_PSD_us]]-Calculate[[#This Row],[Noise_us]]</f>
        <v>-37.446244837159583</v>
      </c>
      <c r="U179" s="2">
        <f>Calculate[[#This Row],[Rx_PSD_ds]]-Calculate[[#This Row],[Noise_ds]]</f>
        <v>-37.446244837159583</v>
      </c>
      <c r="V179" s="2">
        <f>POWER(10,Calculate[[#This Row],[SNRdB_us]]/10)</f>
        <v>1.8004269962545574E-4</v>
      </c>
      <c r="W179" s="2">
        <f>POWER(10,Calculate[[#This Row],[SNRdB_ds]]/10)</f>
        <v>1.8004269962545574E-4</v>
      </c>
      <c r="X179" s="2">
        <f>-(0.002*Calculate[[#This Row],[Freq]]/1000000/2.5+0.68*(Calculate[[#This Row],[Freq]]/1000000/2.5)^0.45)</f>
        <v>-32.116133177134657</v>
      </c>
    </row>
    <row r="180" spans="1:24" x14ac:dyDescent="0.25">
      <c r="A180" s="34">
        <f t="shared" si="29"/>
        <v>8055000000</v>
      </c>
      <c r="B180" s="1">
        <f>Calculate[[#This Row],[Freq]]-A179</f>
        <v>45000000</v>
      </c>
      <c r="C180">
        <f>Channels!B180*cable_length</f>
        <v>-29.080026868242406</v>
      </c>
      <c r="D180" s="2">
        <f>Masks!A180</f>
        <v>-148.47032539791456</v>
      </c>
      <c r="E180" s="2">
        <f>Masks!B180</f>
        <v>-148.47032539791456</v>
      </c>
      <c r="F180" s="2">
        <f>Calculate[[#This Row],[Tx_PSD_us]]+Calculate[[#This Row],[IL]]</f>
        <v>-177.55035226615698</v>
      </c>
      <c r="G180" s="2">
        <f>Calculate[[#This Row],[Tx_PSD_ds]]+Calculate[[#This Row],[IL]]</f>
        <v>-177.55035226615698</v>
      </c>
      <c r="H180" s="2">
        <f>Masks[[#This Row],[channel_echo]]</f>
        <v>-8.540115814163233</v>
      </c>
      <c r="I180" s="2">
        <f>Masks[[#This Row],[channel_echo]]</f>
        <v>-8.540115814163233</v>
      </c>
      <c r="J180" s="2">
        <f>Calculate[[#This Row],[Echo_transfer_us]]+Calculate[[#This Row],[Tx_PSD_ds]]</f>
        <v>-157.01044121207781</v>
      </c>
      <c r="K180" s="2">
        <f>Calculate[[#This Row],[Echo_transfer_ds]]+Calculate[[#This Row],[Tx_PSD_us]]</f>
        <v>-157.01044121207781</v>
      </c>
      <c r="L180" s="2">
        <f t="shared" si="25"/>
        <v>-140</v>
      </c>
      <c r="M180" s="2">
        <f t="shared" si="26"/>
        <v>-140</v>
      </c>
      <c r="N180" s="2">
        <f t="shared" si="27"/>
        <v>5</v>
      </c>
      <c r="O180" s="2">
        <f t="shared" si="28"/>
        <v>5</v>
      </c>
      <c r="P180" s="2">
        <f>10*LOG10((10^(Calculate[[#This Row],[Rx_echo_us]]/10))-(10^((Masks[[#This Row],[connector_echo]]+Calculate[[#This Row],[Tx_PSD_ds]])/10))*EC_conector_ratio_us)-Calculate[[#This Row],[EC_cancelation_us]]</f>
        <v>-193.47032539792912</v>
      </c>
      <c r="Q180" s="2">
        <f>10*LOG10((10^(Calculate[[#This Row],[Rx_echo_ds]]/10))-(10^((Masks[[#This Row],[connector_echo]]+Calculate[[#This Row],[Tx_PSD_us]])/10))*EC_conector_ratio_ds)-Calculate[[#This Row],[EC_cancelation_ds]]</f>
        <v>-193.47032539792912</v>
      </c>
      <c r="R180" s="2">
        <f>10*LOG10(POWER(10,Calculate[[#This Row],[AFE_noise_us]]/10)+POWER(10,Calculate[[#This Row],[Echo_res_us]]/10))</f>
        <v>-139.99998046781653</v>
      </c>
      <c r="S180" s="2">
        <f>10*LOG10(POWER(10,Calculate[[#This Row],[AFE_noise_ds]]/10)+POWER(10,Calculate[[#This Row],[Echo_res_ds]]/10))</f>
        <v>-139.99998046781653</v>
      </c>
      <c r="T180" s="2">
        <f>Calculate[[#This Row],[Rx_PSD_us]]-Calculate[[#This Row],[Noise_us]]</f>
        <v>-37.55037179834045</v>
      </c>
      <c r="U180" s="2">
        <f>Calculate[[#This Row],[Rx_PSD_ds]]-Calculate[[#This Row],[Noise_ds]]</f>
        <v>-37.55037179834045</v>
      </c>
      <c r="V180" s="2">
        <f>POWER(10,Calculate[[#This Row],[SNRdB_us]]/10)</f>
        <v>1.7577731250316186E-4</v>
      </c>
      <c r="W180" s="2">
        <f>POWER(10,Calculate[[#This Row],[SNRdB_ds]]/10)</f>
        <v>1.7577731250316186E-4</v>
      </c>
      <c r="X180" s="2">
        <f>-(0.002*Calculate[[#This Row],[Freq]]/1000000/2.5+0.68*(Calculate[[#This Row],[Freq]]/1000000/2.5)^0.45)</f>
        <v>-32.217025529344404</v>
      </c>
    </row>
    <row r="181" spans="1:24" x14ac:dyDescent="0.25">
      <c r="A181" s="34">
        <f t="shared" si="29"/>
        <v>8100000000</v>
      </c>
      <c r="B181" s="1">
        <f>Calculate[[#This Row],[Freq]]-A180</f>
        <v>45000000</v>
      </c>
      <c r="C181">
        <f>Channels!B181*cable_length</f>
        <v>-29.183990662746108</v>
      </c>
      <c r="D181" s="2">
        <f>Masks!A181</f>
        <v>-148.47032539791456</v>
      </c>
      <c r="E181" s="2">
        <f>Masks!B181</f>
        <v>-148.47032539791456</v>
      </c>
      <c r="F181" s="2">
        <f>Calculate[[#This Row],[Tx_PSD_us]]+Calculate[[#This Row],[IL]]</f>
        <v>-177.65431606066068</v>
      </c>
      <c r="G181" s="2">
        <f>Calculate[[#This Row],[Tx_PSD_ds]]+Calculate[[#This Row],[IL]]</f>
        <v>-177.65431606066068</v>
      </c>
      <c r="H181" s="2">
        <f>Masks[[#This Row],[channel_echo]]</f>
        <v>-8.5164417355059516</v>
      </c>
      <c r="I181" s="2">
        <f>Masks[[#This Row],[channel_echo]]</f>
        <v>-8.5164417355059516</v>
      </c>
      <c r="J181" s="2">
        <f>Calculate[[#This Row],[Echo_transfer_us]]+Calculate[[#This Row],[Tx_PSD_ds]]</f>
        <v>-156.98676713342053</v>
      </c>
      <c r="K181" s="2">
        <f>Calculate[[#This Row],[Echo_transfer_ds]]+Calculate[[#This Row],[Tx_PSD_us]]</f>
        <v>-156.98676713342053</v>
      </c>
      <c r="L181" s="2">
        <f t="shared" si="25"/>
        <v>-140</v>
      </c>
      <c r="M181" s="2">
        <f t="shared" si="26"/>
        <v>-140</v>
      </c>
      <c r="N181" s="2">
        <f t="shared" si="27"/>
        <v>5</v>
      </c>
      <c r="O181" s="2">
        <f t="shared" si="28"/>
        <v>5</v>
      </c>
      <c r="P181" s="2">
        <f>10*LOG10((10^(Calculate[[#This Row],[Rx_echo_us]]/10))-(10^((Masks[[#This Row],[connector_echo]]+Calculate[[#This Row],[Tx_PSD_ds]])/10))*EC_conector_ratio_us)-Calculate[[#This Row],[EC_cancelation_us]]</f>
        <v>-193.47032539792312</v>
      </c>
      <c r="Q181" s="2">
        <f>10*LOG10((10^(Calculate[[#This Row],[Rx_echo_ds]]/10))-(10^((Masks[[#This Row],[connector_echo]]+Calculate[[#This Row],[Tx_PSD_us]])/10))*EC_conector_ratio_ds)-Calculate[[#This Row],[EC_cancelation_ds]]</f>
        <v>-193.47032539792312</v>
      </c>
      <c r="R181" s="2">
        <f>10*LOG10(POWER(10,Calculate[[#This Row],[AFE_noise_us]]/10)+POWER(10,Calculate[[#This Row],[Echo_res_us]]/10))</f>
        <v>-139.99998046781653</v>
      </c>
      <c r="S181" s="2">
        <f>10*LOG10(POWER(10,Calculate[[#This Row],[AFE_noise_ds]]/10)+POWER(10,Calculate[[#This Row],[Echo_res_ds]]/10))</f>
        <v>-139.99998046781653</v>
      </c>
      <c r="T181" s="2">
        <f>Calculate[[#This Row],[Rx_PSD_us]]-Calculate[[#This Row],[Noise_us]]</f>
        <v>-37.654335592844149</v>
      </c>
      <c r="U181" s="2">
        <f>Calculate[[#This Row],[Rx_PSD_ds]]-Calculate[[#This Row],[Noise_ds]]</f>
        <v>-37.654335592844149</v>
      </c>
      <c r="V181" s="2">
        <f>POWER(10,Calculate[[#This Row],[SNRdB_us]]/10)</f>
        <v>1.7161942427035395E-4</v>
      </c>
      <c r="W181" s="2">
        <f>POWER(10,Calculate[[#This Row],[SNRdB_ds]]/10)</f>
        <v>1.7161942427035395E-4</v>
      </c>
      <c r="X181" s="2">
        <f>-(0.002*Calculate[[#This Row],[Freq]]/1000000/2.5+0.68*(Calculate[[#This Row],[Freq]]/1000000/2.5)^0.45)</f>
        <v>-32.317718796338568</v>
      </c>
    </row>
    <row r="182" spans="1:24" x14ac:dyDescent="0.25">
      <c r="A182" s="34">
        <f t="shared" si="29"/>
        <v>8145000000</v>
      </c>
      <c r="B182" s="1">
        <f>Calculate[[#This Row],[Freq]]-A181</f>
        <v>45000000</v>
      </c>
      <c r="C182">
        <f>Channels!B182*cable_length</f>
        <v>-29.287792648422194</v>
      </c>
      <c r="D182" s="2">
        <f>Masks!A182</f>
        <v>-148.47032539791456</v>
      </c>
      <c r="E182" s="2">
        <f>Masks!B182</f>
        <v>-148.47032539791456</v>
      </c>
      <c r="F182" s="2">
        <f>Calculate[[#This Row],[Tx_PSD_us]]+Calculate[[#This Row],[IL]]</f>
        <v>-177.75811804633676</v>
      </c>
      <c r="G182" s="2">
        <f>Calculate[[#This Row],[Tx_PSD_ds]]+Calculate[[#This Row],[IL]]</f>
        <v>-177.75811804633676</v>
      </c>
      <c r="H182" s="2">
        <f>Masks[[#This Row],[channel_echo]]</f>
        <v>-8.4928960086435588</v>
      </c>
      <c r="I182" s="2">
        <f>Masks[[#This Row],[channel_echo]]</f>
        <v>-8.4928960086435588</v>
      </c>
      <c r="J182" s="2">
        <f>Calculate[[#This Row],[Echo_transfer_us]]+Calculate[[#This Row],[Tx_PSD_ds]]</f>
        <v>-156.96322140655812</v>
      </c>
      <c r="K182" s="2">
        <f>Calculate[[#This Row],[Echo_transfer_ds]]+Calculate[[#This Row],[Tx_PSD_us]]</f>
        <v>-156.96322140655812</v>
      </c>
      <c r="L182" s="2">
        <f t="shared" si="25"/>
        <v>-140</v>
      </c>
      <c r="M182" s="2">
        <f t="shared" si="26"/>
        <v>-140</v>
      </c>
      <c r="N182" s="2">
        <f t="shared" si="27"/>
        <v>5</v>
      </c>
      <c r="O182" s="2">
        <f t="shared" si="28"/>
        <v>5</v>
      </c>
      <c r="P182" s="2">
        <f>10*LOG10((10^(Calculate[[#This Row],[Rx_echo_us]]/10))-(10^((Masks[[#This Row],[connector_echo]]+Calculate[[#This Row],[Tx_PSD_ds]])/10))*EC_conector_ratio_us)-Calculate[[#This Row],[EC_cancelation_us]]</f>
        <v>-193.47032539792536</v>
      </c>
      <c r="Q182" s="2">
        <f>10*LOG10((10^(Calculate[[#This Row],[Rx_echo_ds]]/10))-(10^((Masks[[#This Row],[connector_echo]]+Calculate[[#This Row],[Tx_PSD_us]])/10))*EC_conector_ratio_ds)-Calculate[[#This Row],[EC_cancelation_ds]]</f>
        <v>-193.47032539792536</v>
      </c>
      <c r="R182" s="2">
        <f>10*LOG10(POWER(10,Calculate[[#This Row],[AFE_noise_us]]/10)+POWER(10,Calculate[[#This Row],[Echo_res_us]]/10))</f>
        <v>-139.99998046781653</v>
      </c>
      <c r="S182" s="2">
        <f>10*LOG10(POWER(10,Calculate[[#This Row],[AFE_noise_ds]]/10)+POWER(10,Calculate[[#This Row],[Echo_res_ds]]/10))</f>
        <v>-139.99998046781653</v>
      </c>
      <c r="T182" s="2">
        <f>Calculate[[#This Row],[Rx_PSD_us]]-Calculate[[#This Row],[Noise_us]]</f>
        <v>-37.758137578520234</v>
      </c>
      <c r="U182" s="2">
        <f>Calculate[[#This Row],[Rx_PSD_ds]]-Calculate[[#This Row],[Noise_ds]]</f>
        <v>-37.758137578520234</v>
      </c>
      <c r="V182" s="2">
        <f>POWER(10,Calculate[[#This Row],[SNRdB_us]]/10)</f>
        <v>1.6756613098737911E-4</v>
      </c>
      <c r="W182" s="2">
        <f>POWER(10,Calculate[[#This Row],[SNRdB_ds]]/10)</f>
        <v>1.6756613098737911E-4</v>
      </c>
      <c r="X182" s="2">
        <f>-(0.002*Calculate[[#This Row],[Freq]]/1000000/2.5+0.68*(Calculate[[#This Row],[Freq]]/1000000/2.5)^0.45)</f>
        <v>-32.418214689863206</v>
      </c>
    </row>
    <row r="183" spans="1:24" x14ac:dyDescent="0.25">
      <c r="A183" s="34">
        <f t="shared" si="29"/>
        <v>8190000000</v>
      </c>
      <c r="B183" s="1">
        <f>Calculate[[#This Row],[Freq]]-A182</f>
        <v>45000000</v>
      </c>
      <c r="C183">
        <f>Channels!B183*cable_length</f>
        <v>-29.391434164390979</v>
      </c>
      <c r="D183" s="2">
        <f>Masks!A183</f>
        <v>-148.47032539791456</v>
      </c>
      <c r="E183" s="2">
        <f>Masks!B183</f>
        <v>-148.47032539791456</v>
      </c>
      <c r="F183" s="2">
        <f>Calculate[[#This Row],[Tx_PSD_us]]+Calculate[[#This Row],[IL]]</f>
        <v>-177.86175956230554</v>
      </c>
      <c r="G183" s="2">
        <f>Calculate[[#This Row],[Tx_PSD_ds]]+Calculate[[#This Row],[IL]]</f>
        <v>-177.86175956230554</v>
      </c>
      <c r="H183" s="2">
        <f>Masks[[#This Row],[channel_echo]]</f>
        <v>-8.4694772493289125</v>
      </c>
      <c r="I183" s="2">
        <f>Masks[[#This Row],[channel_echo]]</f>
        <v>-8.4694772493289125</v>
      </c>
      <c r="J183" s="2">
        <f>Calculate[[#This Row],[Echo_transfer_us]]+Calculate[[#This Row],[Tx_PSD_ds]]</f>
        <v>-156.93980264724348</v>
      </c>
      <c r="K183" s="2">
        <f>Calculate[[#This Row],[Echo_transfer_ds]]+Calculate[[#This Row],[Tx_PSD_us]]</f>
        <v>-156.93980264724348</v>
      </c>
      <c r="L183" s="2">
        <f t="shared" si="25"/>
        <v>-140</v>
      </c>
      <c r="M183" s="2">
        <f t="shared" si="26"/>
        <v>-140</v>
      </c>
      <c r="N183" s="2">
        <f t="shared" si="27"/>
        <v>5</v>
      </c>
      <c r="O183" s="2">
        <f t="shared" si="28"/>
        <v>5</v>
      </c>
      <c r="P183" s="2">
        <f>10*LOG10((10^(Calculate[[#This Row],[Rx_echo_us]]/10))-(10^((Masks[[#This Row],[connector_echo]]+Calculate[[#This Row],[Tx_PSD_ds]])/10))*EC_conector_ratio_us)-Calculate[[#This Row],[EC_cancelation_us]]</f>
        <v>-193.47032539792238</v>
      </c>
      <c r="Q183" s="2">
        <f>10*LOG10((10^(Calculate[[#This Row],[Rx_echo_ds]]/10))-(10^((Masks[[#This Row],[connector_echo]]+Calculate[[#This Row],[Tx_PSD_us]])/10))*EC_conector_ratio_ds)-Calculate[[#This Row],[EC_cancelation_ds]]</f>
        <v>-193.47032539792238</v>
      </c>
      <c r="R183" s="2">
        <f>10*LOG10(POWER(10,Calculate[[#This Row],[AFE_noise_us]]/10)+POWER(10,Calculate[[#This Row],[Echo_res_us]]/10))</f>
        <v>-139.99998046781653</v>
      </c>
      <c r="S183" s="2">
        <f>10*LOG10(POWER(10,Calculate[[#This Row],[AFE_noise_ds]]/10)+POWER(10,Calculate[[#This Row],[Echo_res_ds]]/10))</f>
        <v>-139.99998046781653</v>
      </c>
      <c r="T183" s="2">
        <f>Calculate[[#This Row],[Rx_PSD_us]]-Calculate[[#This Row],[Noise_us]]</f>
        <v>-37.861779094489009</v>
      </c>
      <c r="U183" s="2">
        <f>Calculate[[#This Row],[Rx_PSD_ds]]-Calculate[[#This Row],[Noise_ds]]</f>
        <v>-37.861779094489009</v>
      </c>
      <c r="V183" s="2">
        <f>POWER(10,Calculate[[#This Row],[SNRdB_us]]/10)</f>
        <v>1.6361461341693313E-4</v>
      </c>
      <c r="W183" s="2">
        <f>POWER(10,Calculate[[#This Row],[SNRdB_ds]]/10)</f>
        <v>1.6361461341693313E-4</v>
      </c>
      <c r="X183" s="2">
        <f>-(0.002*Calculate[[#This Row],[Freq]]/1000000/2.5+0.68*(Calculate[[#This Row],[Freq]]/1000000/2.5)^0.45)</f>
        <v>-32.518514897584907</v>
      </c>
    </row>
    <row r="184" spans="1:24" x14ac:dyDescent="0.25">
      <c r="A184" s="34">
        <f t="shared" si="29"/>
        <v>8235000000</v>
      </c>
      <c r="B184" s="1">
        <f>Calculate[[#This Row],[Freq]]-A183</f>
        <v>45000000</v>
      </c>
      <c r="C184">
        <f>Channels!B184*cable_length</f>
        <v>-29.49491653140328</v>
      </c>
      <c r="D184" s="2">
        <f>Masks!A184</f>
        <v>-148.47032539791456</v>
      </c>
      <c r="E184" s="2">
        <f>Masks!B184</f>
        <v>-148.47032539791456</v>
      </c>
      <c r="F184" s="2">
        <f>Calculate[[#This Row],[Tx_PSD_us]]+Calculate[[#This Row],[IL]]</f>
        <v>-177.96524192931784</v>
      </c>
      <c r="G184" s="2">
        <f>Calculate[[#This Row],[Tx_PSD_ds]]+Calculate[[#This Row],[IL]]</f>
        <v>-177.96524192931784</v>
      </c>
      <c r="H184" s="2">
        <f>Masks[[#This Row],[channel_echo]]</f>
        <v>-8.4461840955880376</v>
      </c>
      <c r="I184" s="2">
        <f>Masks[[#This Row],[channel_echo]]</f>
        <v>-8.4461840955880376</v>
      </c>
      <c r="J184" s="2">
        <f>Calculate[[#This Row],[Echo_transfer_us]]+Calculate[[#This Row],[Tx_PSD_ds]]</f>
        <v>-156.91650949350259</v>
      </c>
      <c r="K184" s="2">
        <f>Calculate[[#This Row],[Echo_transfer_ds]]+Calculate[[#This Row],[Tx_PSD_us]]</f>
        <v>-156.91650949350259</v>
      </c>
      <c r="L184" s="2">
        <f t="shared" si="25"/>
        <v>-140</v>
      </c>
      <c r="M184" s="2">
        <f t="shared" si="26"/>
        <v>-140</v>
      </c>
      <c r="N184" s="2">
        <f t="shared" si="27"/>
        <v>5</v>
      </c>
      <c r="O184" s="2">
        <f t="shared" si="28"/>
        <v>5</v>
      </c>
      <c r="P184" s="2">
        <f>10*LOG10((10^(Calculate[[#This Row],[Rx_echo_us]]/10))-(10^((Masks[[#This Row],[connector_echo]]+Calculate[[#This Row],[Tx_PSD_ds]])/10))*EC_conector_ratio_us)-Calculate[[#This Row],[EC_cancelation_us]]</f>
        <v>-193.47032539787645</v>
      </c>
      <c r="Q184" s="2">
        <f>10*LOG10((10^(Calculate[[#This Row],[Rx_echo_ds]]/10))-(10^((Masks[[#This Row],[connector_echo]]+Calculate[[#This Row],[Tx_PSD_us]])/10))*EC_conector_ratio_ds)-Calculate[[#This Row],[EC_cancelation_ds]]</f>
        <v>-193.47032539787645</v>
      </c>
      <c r="R184" s="2">
        <f>10*LOG10(POWER(10,Calculate[[#This Row],[AFE_noise_us]]/10)+POWER(10,Calculate[[#This Row],[Echo_res_us]]/10))</f>
        <v>-139.99998046781653</v>
      </c>
      <c r="S184" s="2">
        <f>10*LOG10(POWER(10,Calculate[[#This Row],[AFE_noise_ds]]/10)+POWER(10,Calculate[[#This Row],[Echo_res_ds]]/10))</f>
        <v>-139.99998046781653</v>
      </c>
      <c r="T184" s="2">
        <f>Calculate[[#This Row],[Rx_PSD_us]]-Calculate[[#This Row],[Noise_us]]</f>
        <v>-37.965261461501314</v>
      </c>
      <c r="U184" s="2">
        <f>Calculate[[#This Row],[Rx_PSD_ds]]-Calculate[[#This Row],[Noise_ds]]</f>
        <v>-37.965261461501314</v>
      </c>
      <c r="V184" s="2">
        <f>POWER(10,Calculate[[#This Row],[SNRdB_us]]/10)</f>
        <v>1.597621343390464E-4</v>
      </c>
      <c r="W184" s="2">
        <f>POWER(10,Calculate[[#This Row],[SNRdB_ds]]/10)</f>
        <v>1.597621343390464E-4</v>
      </c>
      <c r="X184" s="2">
        <f>-(0.002*Calculate[[#This Row],[Freq]]/1000000/2.5+0.68*(Calculate[[#This Row],[Freq]]/1000000/2.5)^0.45)</f>
        <v>-32.618621083559724</v>
      </c>
    </row>
    <row r="185" spans="1:24" x14ac:dyDescent="0.25">
      <c r="A185" s="34">
        <f t="shared" si="29"/>
        <v>8280000000</v>
      </c>
      <c r="B185" s="1">
        <f>Calculate[[#This Row],[Freq]]-A184</f>
        <v>45000000</v>
      </c>
      <c r="C185">
        <f>Channels!B185*cable_length</f>
        <v>-29.598241052191238</v>
      </c>
      <c r="D185" s="2">
        <f>Masks!A185</f>
        <v>-148.47032539791456</v>
      </c>
      <c r="E185" s="2">
        <f>Masks!B185</f>
        <v>-148.47032539791456</v>
      </c>
      <c r="F185" s="2">
        <f>Calculate[[#This Row],[Tx_PSD_us]]+Calculate[[#This Row],[IL]]</f>
        <v>-178.06856645010581</v>
      </c>
      <c r="G185" s="2">
        <f>Calculate[[#This Row],[Tx_PSD_ds]]+Calculate[[#This Row],[IL]]</f>
        <v>-178.06856645010581</v>
      </c>
      <c r="H185" s="2">
        <f>Masks[[#This Row],[channel_echo]]</f>
        <v>-8.4230152072448377</v>
      </c>
      <c r="I185" s="2">
        <f>Masks[[#This Row],[channel_echo]]</f>
        <v>-8.4230152072448377</v>
      </c>
      <c r="J185" s="2">
        <f>Calculate[[#This Row],[Echo_transfer_us]]+Calculate[[#This Row],[Tx_PSD_ds]]</f>
        <v>-156.89334060515941</v>
      </c>
      <c r="K185" s="2">
        <f>Calculate[[#This Row],[Echo_transfer_ds]]+Calculate[[#This Row],[Tx_PSD_us]]</f>
        <v>-156.89334060515941</v>
      </c>
      <c r="L185" s="2">
        <f t="shared" si="25"/>
        <v>-140</v>
      </c>
      <c r="M185" s="2">
        <f t="shared" si="26"/>
        <v>-140</v>
      </c>
      <c r="N185" s="2">
        <f t="shared" si="27"/>
        <v>5</v>
      </c>
      <c r="O185" s="2">
        <f t="shared" si="28"/>
        <v>5</v>
      </c>
      <c r="P185" s="2">
        <f>10*LOG10((10^(Calculate[[#This Row],[Rx_echo_us]]/10))-(10^((Masks[[#This Row],[connector_echo]]+Calculate[[#This Row],[Tx_PSD_ds]])/10))*EC_conector_ratio_us)-Calculate[[#This Row],[EC_cancelation_us]]</f>
        <v>-193.47032539796527</v>
      </c>
      <c r="Q185" s="2">
        <f>10*LOG10((10^(Calculate[[#This Row],[Rx_echo_ds]]/10))-(10^((Masks[[#This Row],[connector_echo]]+Calculate[[#This Row],[Tx_PSD_us]])/10))*EC_conector_ratio_ds)-Calculate[[#This Row],[EC_cancelation_ds]]</f>
        <v>-193.47032539796527</v>
      </c>
      <c r="R185" s="2">
        <f>10*LOG10(POWER(10,Calculate[[#This Row],[AFE_noise_us]]/10)+POWER(10,Calculate[[#This Row],[Echo_res_us]]/10))</f>
        <v>-139.99998046781653</v>
      </c>
      <c r="S185" s="2">
        <f>10*LOG10(POWER(10,Calculate[[#This Row],[AFE_noise_ds]]/10)+POWER(10,Calculate[[#This Row],[Echo_res_ds]]/10))</f>
        <v>-139.99998046781653</v>
      </c>
      <c r="T185" s="2">
        <f>Calculate[[#This Row],[Rx_PSD_us]]-Calculate[[#This Row],[Noise_us]]</f>
        <v>-38.068585982289278</v>
      </c>
      <c r="U185" s="2">
        <f>Calculate[[#This Row],[Rx_PSD_ds]]-Calculate[[#This Row],[Noise_ds]]</f>
        <v>-38.068585982289278</v>
      </c>
      <c r="V185" s="2">
        <f>POWER(10,Calculate[[#This Row],[SNRdB_us]]/10)</f>
        <v>1.5600603595903811E-4</v>
      </c>
      <c r="W185" s="2">
        <f>POWER(10,Calculate[[#This Row],[SNRdB_ds]]/10)</f>
        <v>1.5600603595903811E-4</v>
      </c>
      <c r="X185" s="2">
        <f>-(0.002*Calculate[[#This Row],[Freq]]/1000000/2.5+0.68*(Calculate[[#This Row],[Freq]]/1000000/2.5)^0.45)</f>
        <v>-32.71853488869057</v>
      </c>
    </row>
    <row r="186" spans="1:24" x14ac:dyDescent="0.25">
      <c r="A186" s="34">
        <f t="shared" si="29"/>
        <v>8325000000</v>
      </c>
      <c r="B186" s="1">
        <f>Calculate[[#This Row],[Freq]]-A185</f>
        <v>45000000</v>
      </c>
      <c r="C186">
        <f>Channels!B186*cable_length</f>
        <v>-29.701409011810622</v>
      </c>
      <c r="D186" s="2">
        <f>Masks!A186</f>
        <v>-148.47032539791456</v>
      </c>
      <c r="E186" s="2">
        <f>Masks!B186</f>
        <v>-148.47032539791456</v>
      </c>
      <c r="F186" s="2">
        <f>Calculate[[#This Row],[Tx_PSD_us]]+Calculate[[#This Row],[IL]]</f>
        <v>-178.17173440972519</v>
      </c>
      <c r="G186" s="2">
        <f>Calculate[[#This Row],[Tx_PSD_ds]]+Calculate[[#This Row],[IL]]</f>
        <v>-178.17173440972519</v>
      </c>
      <c r="H186" s="2">
        <f>Masks[[#This Row],[channel_echo]]</f>
        <v>-8.39996926545839</v>
      </c>
      <c r="I186" s="2">
        <f>Masks[[#This Row],[channel_echo]]</f>
        <v>-8.39996926545839</v>
      </c>
      <c r="J186" s="2">
        <f>Calculate[[#This Row],[Echo_transfer_us]]+Calculate[[#This Row],[Tx_PSD_ds]]</f>
        <v>-156.87029466337296</v>
      </c>
      <c r="K186" s="2">
        <f>Calculate[[#This Row],[Echo_transfer_ds]]+Calculate[[#This Row],[Tx_PSD_us]]</f>
        <v>-156.87029466337296</v>
      </c>
      <c r="L186" s="2">
        <f t="shared" si="25"/>
        <v>-140</v>
      </c>
      <c r="M186" s="2">
        <f t="shared" si="26"/>
        <v>-140</v>
      </c>
      <c r="N186" s="2">
        <f t="shared" si="27"/>
        <v>5</v>
      </c>
      <c r="O186" s="2">
        <f t="shared" si="28"/>
        <v>5</v>
      </c>
      <c r="P186" s="2">
        <f>10*LOG10((10^(Calculate[[#This Row],[Rx_echo_us]]/10))-(10^((Masks[[#This Row],[connector_echo]]+Calculate[[#This Row],[Tx_PSD_ds]])/10))*EC_conector_ratio_us)-Calculate[[#This Row],[EC_cancelation_us]]</f>
        <v>-193.47032539793139</v>
      </c>
      <c r="Q186" s="2">
        <f>10*LOG10((10^(Calculate[[#This Row],[Rx_echo_ds]]/10))-(10^((Masks[[#This Row],[connector_echo]]+Calculate[[#This Row],[Tx_PSD_us]])/10))*EC_conector_ratio_ds)-Calculate[[#This Row],[EC_cancelation_ds]]</f>
        <v>-193.47032539793139</v>
      </c>
      <c r="R186" s="2">
        <f>10*LOG10(POWER(10,Calculate[[#This Row],[AFE_noise_us]]/10)+POWER(10,Calculate[[#This Row],[Echo_res_us]]/10))</f>
        <v>-139.99998046781653</v>
      </c>
      <c r="S186" s="2">
        <f>10*LOG10(POWER(10,Calculate[[#This Row],[AFE_noise_ds]]/10)+POWER(10,Calculate[[#This Row],[Echo_res_ds]]/10))</f>
        <v>-139.99998046781653</v>
      </c>
      <c r="T186" s="2">
        <f>Calculate[[#This Row],[Rx_PSD_us]]-Calculate[[#This Row],[Noise_us]]</f>
        <v>-38.171753941908662</v>
      </c>
      <c r="U186" s="2">
        <f>Calculate[[#This Row],[Rx_PSD_ds]]-Calculate[[#This Row],[Noise_ds]]</f>
        <v>-38.171753941908662</v>
      </c>
      <c r="V186" s="2">
        <f>POWER(10,Calculate[[#This Row],[SNRdB_us]]/10)</f>
        <v>1.5234373740490376E-4</v>
      </c>
      <c r="W186" s="2">
        <f>POWER(10,Calculate[[#This Row],[SNRdB_ds]]/10)</f>
        <v>1.5234373740490376E-4</v>
      </c>
      <c r="X186" s="2">
        <f>-(0.002*Calculate[[#This Row],[Freq]]/1000000/2.5+0.68*(Calculate[[#This Row],[Freq]]/1000000/2.5)^0.45)</f>
        <v>-32.818257931173207</v>
      </c>
    </row>
    <row r="187" spans="1:24" x14ac:dyDescent="0.25">
      <c r="A187" s="34">
        <f t="shared" si="29"/>
        <v>8370000000</v>
      </c>
      <c r="B187" s="1">
        <f>Calculate[[#This Row],[Freq]]-A186</f>
        <v>45000000</v>
      </c>
      <c r="C187">
        <f>Channels!B187*cable_length</f>
        <v>-29.804421677974794</v>
      </c>
      <c r="D187" s="2">
        <f>Masks!A187</f>
        <v>-148.47032539791456</v>
      </c>
      <c r="E187" s="2">
        <f>Masks!B187</f>
        <v>-148.47032539791456</v>
      </c>
      <c r="F187" s="2">
        <f>Calculate[[#This Row],[Tx_PSD_us]]+Calculate[[#This Row],[IL]]</f>
        <v>-178.27474707588937</v>
      </c>
      <c r="G187" s="2">
        <f>Calculate[[#This Row],[Tx_PSD_ds]]+Calculate[[#This Row],[IL]]</f>
        <v>-178.27474707588937</v>
      </c>
      <c r="H187" s="2">
        <f>Masks[[#This Row],[channel_echo]]</f>
        <v>-8.3770449722724791</v>
      </c>
      <c r="I187" s="2">
        <f>Masks[[#This Row],[channel_echo]]</f>
        <v>-8.3770449722724791</v>
      </c>
      <c r="J187" s="2">
        <f>Calculate[[#This Row],[Echo_transfer_us]]+Calculate[[#This Row],[Tx_PSD_ds]]</f>
        <v>-156.84737037018704</v>
      </c>
      <c r="K187" s="2">
        <f>Calculate[[#This Row],[Echo_transfer_ds]]+Calculate[[#This Row],[Tx_PSD_us]]</f>
        <v>-156.84737037018704</v>
      </c>
      <c r="L187" s="2">
        <f t="shared" si="25"/>
        <v>-140</v>
      </c>
      <c r="M187" s="2">
        <f t="shared" si="26"/>
        <v>-140</v>
      </c>
      <c r="N187" s="2">
        <f t="shared" si="27"/>
        <v>5</v>
      </c>
      <c r="O187" s="2">
        <f t="shared" si="28"/>
        <v>5</v>
      </c>
      <c r="P187" s="2">
        <f>10*LOG10((10^(Calculate[[#This Row],[Rx_echo_us]]/10))-(10^((Masks[[#This Row],[connector_echo]]+Calculate[[#This Row],[Tx_PSD_ds]])/10))*EC_conector_ratio_us)-Calculate[[#This Row],[EC_cancelation_us]]</f>
        <v>-193.47032539792991</v>
      </c>
      <c r="Q187" s="2">
        <f>10*LOG10((10^(Calculate[[#This Row],[Rx_echo_ds]]/10))-(10^((Masks[[#This Row],[connector_echo]]+Calculate[[#This Row],[Tx_PSD_us]])/10))*EC_conector_ratio_ds)-Calculate[[#This Row],[EC_cancelation_ds]]</f>
        <v>-193.47032539792991</v>
      </c>
      <c r="R187" s="2">
        <f>10*LOG10(POWER(10,Calculate[[#This Row],[AFE_noise_us]]/10)+POWER(10,Calculate[[#This Row],[Echo_res_us]]/10))</f>
        <v>-139.99998046781653</v>
      </c>
      <c r="S187" s="2">
        <f>10*LOG10(POWER(10,Calculate[[#This Row],[AFE_noise_ds]]/10)+POWER(10,Calculate[[#This Row],[Echo_res_ds]]/10))</f>
        <v>-139.99998046781653</v>
      </c>
      <c r="T187" s="2">
        <f>Calculate[[#This Row],[Rx_PSD_us]]-Calculate[[#This Row],[Noise_us]]</f>
        <v>-38.274766608072838</v>
      </c>
      <c r="U187" s="2">
        <f>Calculate[[#This Row],[Rx_PSD_ds]]-Calculate[[#This Row],[Noise_ds]]</f>
        <v>-38.274766608072838</v>
      </c>
      <c r="V187" s="2">
        <f>POWER(10,Calculate[[#This Row],[SNRdB_us]]/10)</f>
        <v>1.4877273231075655E-4</v>
      </c>
      <c r="W187" s="2">
        <f>POWER(10,Calculate[[#This Row],[SNRdB_ds]]/10)</f>
        <v>1.4877273231075655E-4</v>
      </c>
      <c r="X187" s="2">
        <f>-(0.002*Calculate[[#This Row],[Freq]]/1000000/2.5+0.68*(Calculate[[#This Row],[Freq]]/1000000/2.5)^0.45)</f>
        <v>-32.917791806931376</v>
      </c>
    </row>
    <row r="188" spans="1:24" x14ac:dyDescent="0.25">
      <c r="A188" s="34">
        <f t="shared" si="29"/>
        <v>8415000000</v>
      </c>
      <c r="B188" s="1">
        <f>Calculate[[#This Row],[Freq]]-A187</f>
        <v>45000000</v>
      </c>
      <c r="C188">
        <f>Channels!B188*cable_length</f>
        <v>-29.907280301380609</v>
      </c>
      <c r="D188" s="2">
        <f>Masks!A188</f>
        <v>-148.47032539791456</v>
      </c>
      <c r="E188" s="2">
        <f>Masks!B188</f>
        <v>-148.47032539791456</v>
      </c>
      <c r="F188" s="2">
        <f>Calculate[[#This Row],[Tx_PSD_us]]+Calculate[[#This Row],[IL]]</f>
        <v>-178.37760569929517</v>
      </c>
      <c r="G188" s="2">
        <f>Calculate[[#This Row],[Tx_PSD_ds]]+Calculate[[#This Row],[IL]]</f>
        <v>-178.37760569929517</v>
      </c>
      <c r="H188" s="2">
        <f>Masks[[#This Row],[channel_echo]]</f>
        <v>-8.3542410501769488</v>
      </c>
      <c r="I188" s="2">
        <f>Masks[[#This Row],[channel_echo]]</f>
        <v>-8.3542410501769488</v>
      </c>
      <c r="J188" s="2">
        <f>Calculate[[#This Row],[Echo_transfer_us]]+Calculate[[#This Row],[Tx_PSD_ds]]</f>
        <v>-156.8245664480915</v>
      </c>
      <c r="K188" s="2">
        <f>Calculate[[#This Row],[Echo_transfer_ds]]+Calculate[[#This Row],[Tx_PSD_us]]</f>
        <v>-156.8245664480915</v>
      </c>
      <c r="L188" s="2">
        <f t="shared" si="25"/>
        <v>-140</v>
      </c>
      <c r="M188" s="2">
        <f t="shared" si="26"/>
        <v>-140</v>
      </c>
      <c r="N188" s="2">
        <f t="shared" si="27"/>
        <v>5</v>
      </c>
      <c r="O188" s="2">
        <f t="shared" si="28"/>
        <v>5</v>
      </c>
      <c r="P188" s="2">
        <f>10*LOG10((10^(Calculate[[#This Row],[Rx_echo_us]]/10))-(10^((Masks[[#This Row],[connector_echo]]+Calculate[[#This Row],[Tx_PSD_ds]])/10))*EC_conector_ratio_us)-Calculate[[#This Row],[EC_cancelation_us]]</f>
        <v>-193.4703253979269</v>
      </c>
      <c r="Q188" s="2">
        <f>10*LOG10((10^(Calculate[[#This Row],[Rx_echo_ds]]/10))-(10^((Masks[[#This Row],[connector_echo]]+Calculate[[#This Row],[Tx_PSD_us]])/10))*EC_conector_ratio_ds)-Calculate[[#This Row],[EC_cancelation_ds]]</f>
        <v>-193.4703253979269</v>
      </c>
      <c r="R188" s="2">
        <f>10*LOG10(POWER(10,Calculate[[#This Row],[AFE_noise_us]]/10)+POWER(10,Calculate[[#This Row],[Echo_res_us]]/10))</f>
        <v>-139.99998046781653</v>
      </c>
      <c r="S188" s="2">
        <f>10*LOG10(POWER(10,Calculate[[#This Row],[AFE_noise_ds]]/10)+POWER(10,Calculate[[#This Row],[Echo_res_ds]]/10))</f>
        <v>-139.99998046781653</v>
      </c>
      <c r="T188" s="2">
        <f>Calculate[[#This Row],[Rx_PSD_us]]-Calculate[[#This Row],[Noise_us]]</f>
        <v>-38.377625231478646</v>
      </c>
      <c r="U188" s="2">
        <f>Calculate[[#This Row],[Rx_PSD_ds]]-Calculate[[#This Row],[Noise_ds]]</f>
        <v>-38.377625231478646</v>
      </c>
      <c r="V188" s="2">
        <f>POWER(10,Calculate[[#This Row],[SNRdB_us]]/10)</f>
        <v>1.452905864830891E-4</v>
      </c>
      <c r="W188" s="2">
        <f>POWER(10,Calculate[[#This Row],[SNRdB_ds]]/10)</f>
        <v>1.452905864830891E-4</v>
      </c>
      <c r="X188" s="2">
        <f>-(0.002*Calculate[[#This Row],[Freq]]/1000000/2.5+0.68*(Calculate[[#This Row],[Freq]]/1000000/2.5)^0.45)</f>
        <v>-33.017138090041243</v>
      </c>
    </row>
    <row r="189" spans="1:24" x14ac:dyDescent="0.25">
      <c r="A189" s="34">
        <f t="shared" si="29"/>
        <v>8460000000</v>
      </c>
      <c r="B189" s="1">
        <f>Calculate[[#This Row],[Freq]]-A188</f>
        <v>45000000</v>
      </c>
      <c r="C189">
        <f>Channels!B189*cable_length</f>
        <v>-30.0099861160265</v>
      </c>
      <c r="D189" s="2">
        <f>Masks!A189</f>
        <v>-148.47032539791456</v>
      </c>
      <c r="E189" s="2">
        <f>Masks!B189</f>
        <v>-148.47032539791456</v>
      </c>
      <c r="F189" s="2">
        <f>Calculate[[#This Row],[Tx_PSD_us]]+Calculate[[#This Row],[IL]]</f>
        <v>-178.48031151394107</v>
      </c>
      <c r="G189" s="2">
        <f>Calculate[[#This Row],[Tx_PSD_ds]]+Calculate[[#This Row],[IL]]</f>
        <v>-178.48031151394107</v>
      </c>
      <c r="H189" s="2">
        <f>Masks[[#This Row],[channel_echo]]</f>
        <v>-8.3315562416805093</v>
      </c>
      <c r="I189" s="2">
        <f>Masks[[#This Row],[channel_echo]]</f>
        <v>-8.3315562416805093</v>
      </c>
      <c r="J189" s="2">
        <f>Calculate[[#This Row],[Echo_transfer_us]]+Calculate[[#This Row],[Tx_PSD_ds]]</f>
        <v>-156.80188163959508</v>
      </c>
      <c r="K189" s="2">
        <f>Calculate[[#This Row],[Echo_transfer_ds]]+Calculate[[#This Row],[Tx_PSD_us]]</f>
        <v>-156.80188163959508</v>
      </c>
      <c r="L189" s="2">
        <f t="shared" si="25"/>
        <v>-140</v>
      </c>
      <c r="M189" s="2">
        <f t="shared" si="26"/>
        <v>-140</v>
      </c>
      <c r="N189" s="2">
        <f t="shared" si="27"/>
        <v>5</v>
      </c>
      <c r="O189" s="2">
        <f t="shared" si="28"/>
        <v>5</v>
      </c>
      <c r="P189" s="2">
        <f>10*LOG10((10^(Calculate[[#This Row],[Rx_echo_us]]/10))-(10^((Masks[[#This Row],[connector_echo]]+Calculate[[#This Row],[Tx_PSD_ds]])/10))*EC_conector_ratio_us)-Calculate[[#This Row],[EC_cancelation_us]]</f>
        <v>-193.47032539793065</v>
      </c>
      <c r="Q189" s="2">
        <f>10*LOG10((10^(Calculate[[#This Row],[Rx_echo_ds]]/10))-(10^((Masks[[#This Row],[connector_echo]]+Calculate[[#This Row],[Tx_PSD_us]])/10))*EC_conector_ratio_ds)-Calculate[[#This Row],[EC_cancelation_ds]]</f>
        <v>-193.47032539793065</v>
      </c>
      <c r="R189" s="2">
        <f>10*LOG10(POWER(10,Calculate[[#This Row],[AFE_noise_us]]/10)+POWER(10,Calculate[[#This Row],[Echo_res_us]]/10))</f>
        <v>-139.99998046781653</v>
      </c>
      <c r="S189" s="2">
        <f>10*LOG10(POWER(10,Calculate[[#This Row],[AFE_noise_ds]]/10)+POWER(10,Calculate[[#This Row],[Echo_res_ds]]/10))</f>
        <v>-139.99998046781653</v>
      </c>
      <c r="T189" s="2">
        <f>Calculate[[#This Row],[Rx_PSD_us]]-Calculate[[#This Row],[Noise_us]]</f>
        <v>-38.480331046124547</v>
      </c>
      <c r="U189" s="2">
        <f>Calculate[[#This Row],[Rx_PSD_ds]]-Calculate[[#This Row],[Noise_ds]]</f>
        <v>-38.480331046124547</v>
      </c>
      <c r="V189" s="2">
        <f>POWER(10,Calculate[[#This Row],[SNRdB_us]]/10)</f>
        <v>1.4189493564674337E-4</v>
      </c>
      <c r="W189" s="2">
        <f>POWER(10,Calculate[[#This Row],[SNRdB_ds]]/10)</f>
        <v>1.4189493564674337E-4</v>
      </c>
      <c r="X189" s="2">
        <f>-(0.002*Calculate[[#This Row],[Freq]]/1000000/2.5+0.68*(Calculate[[#This Row],[Freq]]/1000000/2.5)^0.45)</f>
        <v>-33.116298333145537</v>
      </c>
    </row>
    <row r="190" spans="1:24" x14ac:dyDescent="0.25">
      <c r="A190" s="34">
        <f t="shared" si="29"/>
        <v>8505000000</v>
      </c>
      <c r="B190" s="1">
        <f>Calculate[[#This Row],[Freq]]-A189</f>
        <v>45000000</v>
      </c>
      <c r="C190">
        <f>Channels!B190*cable_length</f>
        <v>-30.112540339522923</v>
      </c>
      <c r="D190" s="2">
        <f>Masks!A190</f>
        <v>-148.47032539791456</v>
      </c>
      <c r="E190" s="2">
        <f>Masks!B190</f>
        <v>-148.47032539791456</v>
      </c>
      <c r="F190" s="2">
        <f>Calculate[[#This Row],[Tx_PSD_us]]+Calculate[[#This Row],[IL]]</f>
        <v>-178.58286573743749</v>
      </c>
      <c r="G190" s="2">
        <f>Calculate[[#This Row],[Tx_PSD_ds]]+Calculate[[#This Row],[IL]]</f>
        <v>-178.58286573743749</v>
      </c>
      <c r="H190" s="2">
        <f>Masks[[#This Row],[channel_echo]]</f>
        <v>-8.3089893088946347</v>
      </c>
      <c r="I190" s="2">
        <f>Masks[[#This Row],[channel_echo]]</f>
        <v>-8.3089893088946347</v>
      </c>
      <c r="J190" s="2">
        <f>Calculate[[#This Row],[Echo_transfer_us]]+Calculate[[#This Row],[Tx_PSD_ds]]</f>
        <v>-156.7793147068092</v>
      </c>
      <c r="K190" s="2">
        <f>Calculate[[#This Row],[Echo_transfer_ds]]+Calculate[[#This Row],[Tx_PSD_us]]</f>
        <v>-156.7793147068092</v>
      </c>
      <c r="L190" s="2">
        <f t="shared" si="25"/>
        <v>-140</v>
      </c>
      <c r="M190" s="2">
        <f t="shared" si="26"/>
        <v>-140</v>
      </c>
      <c r="N190" s="2">
        <f t="shared" si="27"/>
        <v>5</v>
      </c>
      <c r="O190" s="2">
        <f t="shared" si="28"/>
        <v>5</v>
      </c>
      <c r="P190" s="2">
        <f>10*LOG10((10^(Calculate[[#This Row],[Rx_echo_us]]/10))-(10^((Masks[[#This Row],[connector_echo]]+Calculate[[#This Row],[Tx_PSD_ds]])/10))*EC_conector_ratio_us)-Calculate[[#This Row],[EC_cancelation_us]]</f>
        <v>-193.47032539793443</v>
      </c>
      <c r="Q190" s="2">
        <f>10*LOG10((10^(Calculate[[#This Row],[Rx_echo_ds]]/10))-(10^((Masks[[#This Row],[connector_echo]]+Calculate[[#This Row],[Tx_PSD_us]])/10))*EC_conector_ratio_ds)-Calculate[[#This Row],[EC_cancelation_ds]]</f>
        <v>-193.47032539793443</v>
      </c>
      <c r="R190" s="2">
        <f>10*LOG10(POWER(10,Calculate[[#This Row],[AFE_noise_us]]/10)+POWER(10,Calculate[[#This Row],[Echo_res_us]]/10))</f>
        <v>-139.99998046781653</v>
      </c>
      <c r="S190" s="2">
        <f>10*LOG10(POWER(10,Calculate[[#This Row],[AFE_noise_ds]]/10)+POWER(10,Calculate[[#This Row],[Echo_res_ds]]/10))</f>
        <v>-139.99998046781653</v>
      </c>
      <c r="T190" s="2">
        <f>Calculate[[#This Row],[Rx_PSD_us]]-Calculate[[#This Row],[Noise_us]]</f>
        <v>-38.582885269620959</v>
      </c>
      <c r="U190" s="2">
        <f>Calculate[[#This Row],[Rx_PSD_ds]]-Calculate[[#This Row],[Noise_ds]]</f>
        <v>-38.582885269620959</v>
      </c>
      <c r="V190" s="2">
        <f>POWER(10,Calculate[[#This Row],[SNRdB_us]]/10)</f>
        <v>1.3858348326761921E-4</v>
      </c>
      <c r="W190" s="2">
        <f>POWER(10,Calculate[[#This Row],[SNRdB_ds]]/10)</f>
        <v>1.3858348326761921E-4</v>
      </c>
      <c r="X190" s="2">
        <f>-(0.002*Calculate[[#This Row],[Freq]]/1000000/2.5+0.68*(Calculate[[#This Row],[Freq]]/1000000/2.5)^0.45)</f>
        <v>-33.215274067857727</v>
      </c>
    </row>
    <row r="191" spans="1:24" x14ac:dyDescent="0.25">
      <c r="A191" s="34">
        <f t="shared" si="29"/>
        <v>8550000000</v>
      </c>
      <c r="B191" s="1">
        <f>Calculate[[#This Row],[Freq]]-A190</f>
        <v>45000000</v>
      </c>
      <c r="C191">
        <f>Channels!B191*cable_length</f>
        <v>-30.214944173395448</v>
      </c>
      <c r="D191" s="2">
        <f>Masks!A191</f>
        <v>-148.47032539791456</v>
      </c>
      <c r="E191" s="2">
        <f>Masks!B191</f>
        <v>-148.47032539791456</v>
      </c>
      <c r="F191" s="2">
        <f>Calculate[[#This Row],[Tx_PSD_us]]+Calculate[[#This Row],[IL]]</f>
        <v>-178.68526957131002</v>
      </c>
      <c r="G191" s="2">
        <f>Calculate[[#This Row],[Tx_PSD_ds]]+Calculate[[#This Row],[IL]]</f>
        <v>-178.68526957131002</v>
      </c>
      <c r="H191" s="2">
        <f>Masks[[#This Row],[channel_echo]]</f>
        <v>-8.2865390331282267</v>
      </c>
      <c r="I191" s="2">
        <f>Masks[[#This Row],[channel_echo]]</f>
        <v>-8.2865390331282267</v>
      </c>
      <c r="J191" s="2">
        <f>Calculate[[#This Row],[Echo_transfer_us]]+Calculate[[#This Row],[Tx_PSD_ds]]</f>
        <v>-156.7568644310428</v>
      </c>
      <c r="K191" s="2">
        <f>Calculate[[#This Row],[Echo_transfer_ds]]+Calculate[[#This Row],[Tx_PSD_us]]</f>
        <v>-156.7568644310428</v>
      </c>
      <c r="L191" s="2">
        <f t="shared" si="25"/>
        <v>-140</v>
      </c>
      <c r="M191" s="2">
        <f t="shared" si="26"/>
        <v>-140</v>
      </c>
      <c r="N191" s="2">
        <f t="shared" si="27"/>
        <v>5</v>
      </c>
      <c r="O191" s="2">
        <f t="shared" si="28"/>
        <v>5</v>
      </c>
      <c r="P191" s="2">
        <f>10*LOG10((10^(Calculate[[#This Row],[Rx_echo_us]]/10))-(10^((Masks[[#This Row],[connector_echo]]+Calculate[[#This Row],[Tx_PSD_ds]])/10))*EC_conector_ratio_us)-Calculate[[#This Row],[EC_cancelation_us]]</f>
        <v>-193.47032539795248</v>
      </c>
      <c r="Q191" s="2">
        <f>10*LOG10((10^(Calculate[[#This Row],[Rx_echo_ds]]/10))-(10^((Masks[[#This Row],[connector_echo]]+Calculate[[#This Row],[Tx_PSD_us]])/10))*EC_conector_ratio_ds)-Calculate[[#This Row],[EC_cancelation_ds]]</f>
        <v>-193.47032539795248</v>
      </c>
      <c r="R191" s="2">
        <f>10*LOG10(POWER(10,Calculate[[#This Row],[AFE_noise_us]]/10)+POWER(10,Calculate[[#This Row],[Echo_res_us]]/10))</f>
        <v>-139.99998046781653</v>
      </c>
      <c r="S191" s="2">
        <f>10*LOG10(POWER(10,Calculate[[#This Row],[AFE_noise_ds]]/10)+POWER(10,Calculate[[#This Row],[Echo_res_ds]]/10))</f>
        <v>-139.99998046781653</v>
      </c>
      <c r="T191" s="2">
        <f>Calculate[[#This Row],[Rx_PSD_us]]-Calculate[[#This Row],[Noise_us]]</f>
        <v>-38.685289103493488</v>
      </c>
      <c r="U191" s="2">
        <f>Calculate[[#This Row],[Rx_PSD_ds]]-Calculate[[#This Row],[Noise_ds]]</f>
        <v>-38.685289103493488</v>
      </c>
      <c r="V191" s="2">
        <f>POWER(10,Calculate[[#This Row],[SNRdB_us]]/10)</f>
        <v>1.3535399844925226E-4</v>
      </c>
      <c r="W191" s="2">
        <f>POWER(10,Calculate[[#This Row],[SNRdB_ds]]/10)</f>
        <v>1.3535399844925226E-4</v>
      </c>
      <c r="X191" s="2">
        <f>-(0.002*Calculate[[#This Row],[Freq]]/1000000/2.5+0.68*(Calculate[[#This Row],[Freq]]/1000000/2.5)^0.45)</f>
        <v>-33.314066805156443</v>
      </c>
    </row>
    <row r="192" spans="1:24" x14ac:dyDescent="0.25">
      <c r="A192" s="34">
        <f t="shared" si="29"/>
        <v>8595000000</v>
      </c>
      <c r="B192" s="1">
        <f>Calculate[[#This Row],[Freq]]-A191</f>
        <v>45000000</v>
      </c>
      <c r="C192">
        <f>Channels!B192*cable_length</f>
        <v>-30.317198803380709</v>
      </c>
      <c r="D192" s="2">
        <f>Masks!A192</f>
        <v>-148.47032539791456</v>
      </c>
      <c r="E192" s="2">
        <f>Masks!B192</f>
        <v>-148.47032539791456</v>
      </c>
      <c r="F192" s="2">
        <f>Calculate[[#This Row],[Tx_PSD_us]]+Calculate[[#This Row],[IL]]</f>
        <v>-178.78752420129527</v>
      </c>
      <c r="G192" s="2">
        <f>Calculate[[#This Row],[Tx_PSD_ds]]+Calculate[[#This Row],[IL]]</f>
        <v>-178.78752420129527</v>
      </c>
      <c r="H192" s="2">
        <f>Masks[[#This Row],[channel_echo]]</f>
        <v>-8.264204214492711</v>
      </c>
      <c r="I192" s="2">
        <f>Masks[[#This Row],[channel_echo]]</f>
        <v>-8.264204214492711</v>
      </c>
      <c r="J192" s="2">
        <f>Calculate[[#This Row],[Echo_transfer_us]]+Calculate[[#This Row],[Tx_PSD_ds]]</f>
        <v>-156.73452961240727</v>
      </c>
      <c r="K192" s="2">
        <f>Calculate[[#This Row],[Echo_transfer_ds]]+Calculate[[#This Row],[Tx_PSD_us]]</f>
        <v>-156.73452961240727</v>
      </c>
      <c r="L192" s="2">
        <f t="shared" si="25"/>
        <v>-140</v>
      </c>
      <c r="M192" s="2">
        <f t="shared" si="26"/>
        <v>-140</v>
      </c>
      <c r="N192" s="2">
        <f t="shared" si="27"/>
        <v>5</v>
      </c>
      <c r="O192" s="2">
        <f t="shared" si="28"/>
        <v>5</v>
      </c>
      <c r="P192" s="2">
        <f>10*LOG10((10^(Calculate[[#This Row],[Rx_echo_us]]/10))-(10^((Masks[[#This Row],[connector_echo]]+Calculate[[#This Row],[Tx_PSD_ds]])/10))*EC_conector_ratio_us)-Calculate[[#This Row],[EC_cancelation_us]]</f>
        <v>-193.47032539787193</v>
      </c>
      <c r="Q192" s="2">
        <f>10*LOG10((10^(Calculate[[#This Row],[Rx_echo_ds]]/10))-(10^((Masks[[#This Row],[connector_echo]]+Calculate[[#This Row],[Tx_PSD_us]])/10))*EC_conector_ratio_ds)-Calculate[[#This Row],[EC_cancelation_ds]]</f>
        <v>-193.47032539787193</v>
      </c>
      <c r="R192" s="2">
        <f>10*LOG10(POWER(10,Calculate[[#This Row],[AFE_noise_us]]/10)+POWER(10,Calculate[[#This Row],[Echo_res_us]]/10))</f>
        <v>-139.99998046781653</v>
      </c>
      <c r="S192" s="2">
        <f>10*LOG10(POWER(10,Calculate[[#This Row],[AFE_noise_ds]]/10)+POWER(10,Calculate[[#This Row],[Echo_res_ds]]/10))</f>
        <v>-139.99998046781653</v>
      </c>
      <c r="T192" s="2">
        <f>Calculate[[#This Row],[Rx_PSD_us]]-Calculate[[#This Row],[Noise_us]]</f>
        <v>-38.787543733478742</v>
      </c>
      <c r="U192" s="2">
        <f>Calculate[[#This Row],[Rx_PSD_ds]]-Calculate[[#This Row],[Noise_ds]]</f>
        <v>-38.787543733478742</v>
      </c>
      <c r="V192" s="2">
        <f>POWER(10,Calculate[[#This Row],[SNRdB_us]]/10)</f>
        <v>1.3220431390053558E-4</v>
      </c>
      <c r="W192" s="2">
        <f>POWER(10,Calculate[[#This Row],[SNRdB_ds]]/10)</f>
        <v>1.3220431390053558E-4</v>
      </c>
      <c r="X192" s="2">
        <f>-(0.002*Calculate[[#This Row],[Freq]]/1000000/2.5+0.68*(Calculate[[#This Row],[Freq]]/1000000/2.5)^0.45)</f>
        <v>-33.412678035770455</v>
      </c>
    </row>
    <row r="193" spans="1:24" x14ac:dyDescent="0.25">
      <c r="A193" s="34">
        <f t="shared" si="29"/>
        <v>8640000000</v>
      </c>
      <c r="B193" s="1">
        <f>Calculate[[#This Row],[Freq]]-A192</f>
        <v>45000000</v>
      </c>
      <c r="C193">
        <f>Channels!B193*cable_length</f>
        <v>-30.419305399715306</v>
      </c>
      <c r="D193" s="2">
        <f>Masks!A193</f>
        <v>-148.47032539791456</v>
      </c>
      <c r="E193" s="2">
        <f>Masks!B193</f>
        <v>-148.47032539791456</v>
      </c>
      <c r="F193" s="2">
        <f>Calculate[[#This Row],[Tx_PSD_us]]+Calculate[[#This Row],[IL]]</f>
        <v>-178.88963079762988</v>
      </c>
      <c r="G193" s="2">
        <f>Calculate[[#This Row],[Tx_PSD_ds]]+Calculate[[#This Row],[IL]]</f>
        <v>-178.88963079762988</v>
      </c>
      <c r="H193" s="2">
        <f>Masks[[#This Row],[channel_echo]]</f>
        <v>-8.2419836715172057</v>
      </c>
      <c r="I193" s="2">
        <f>Masks[[#This Row],[channel_echo]]</f>
        <v>-8.2419836715172057</v>
      </c>
      <c r="J193" s="2">
        <f>Calculate[[#This Row],[Echo_transfer_us]]+Calculate[[#This Row],[Tx_PSD_ds]]</f>
        <v>-156.71230906943177</v>
      </c>
      <c r="K193" s="2">
        <f>Calculate[[#This Row],[Echo_transfer_ds]]+Calculate[[#This Row],[Tx_PSD_us]]</f>
        <v>-156.71230906943177</v>
      </c>
      <c r="L193" s="2">
        <f t="shared" si="25"/>
        <v>-140</v>
      </c>
      <c r="M193" s="2">
        <f t="shared" si="26"/>
        <v>-140</v>
      </c>
      <c r="N193" s="2">
        <f t="shared" si="27"/>
        <v>5</v>
      </c>
      <c r="O193" s="2">
        <f t="shared" si="28"/>
        <v>5</v>
      </c>
      <c r="P193" s="2">
        <f>10*LOG10((10^(Calculate[[#This Row],[Rx_echo_us]]/10))-(10^((Masks[[#This Row],[connector_echo]]+Calculate[[#This Row],[Tx_PSD_ds]])/10))*EC_conector_ratio_us)-Calculate[[#This Row],[EC_cancelation_us]]</f>
        <v>-193.47032539789001</v>
      </c>
      <c r="Q193" s="2">
        <f>10*LOG10((10^(Calculate[[#This Row],[Rx_echo_ds]]/10))-(10^((Masks[[#This Row],[connector_echo]]+Calculate[[#This Row],[Tx_PSD_us]])/10))*EC_conector_ratio_ds)-Calculate[[#This Row],[EC_cancelation_ds]]</f>
        <v>-193.47032539789001</v>
      </c>
      <c r="R193" s="2">
        <f>10*LOG10(POWER(10,Calculate[[#This Row],[AFE_noise_us]]/10)+POWER(10,Calculate[[#This Row],[Echo_res_us]]/10))</f>
        <v>-139.99998046781653</v>
      </c>
      <c r="S193" s="2">
        <f>10*LOG10(POWER(10,Calculate[[#This Row],[AFE_noise_ds]]/10)+POWER(10,Calculate[[#This Row],[Echo_res_ds]]/10))</f>
        <v>-139.99998046781653</v>
      </c>
      <c r="T193" s="2">
        <f>Calculate[[#This Row],[Rx_PSD_us]]-Calculate[[#This Row],[Noise_us]]</f>
        <v>-38.88965032981335</v>
      </c>
      <c r="U193" s="2">
        <f>Calculate[[#This Row],[Rx_PSD_ds]]-Calculate[[#This Row],[Noise_ds]]</f>
        <v>-38.88965032981335</v>
      </c>
      <c r="V193" s="2">
        <f>POWER(10,Calculate[[#This Row],[SNRdB_us]]/10)</f>
        <v>1.2913232397194607E-4</v>
      </c>
      <c r="W193" s="2">
        <f>POWER(10,Calculate[[#This Row],[SNRdB_ds]]/10)</f>
        <v>1.2913232397194607E-4</v>
      </c>
      <c r="X193" s="2">
        <f>-(0.002*Calculate[[#This Row],[Freq]]/1000000/2.5+0.68*(Calculate[[#This Row],[Freq]]/1000000/2.5)^0.45)</f>
        <v>-33.51110923055446</v>
      </c>
    </row>
    <row r="194" spans="1:24" x14ac:dyDescent="0.25">
      <c r="A194" s="34">
        <f t="shared" si="29"/>
        <v>8685000000</v>
      </c>
      <c r="B194" s="1">
        <f>Calculate[[#This Row],[Freq]]-A193</f>
        <v>45000000</v>
      </c>
      <c r="C194">
        <f>Channels!B194*cable_length</f>
        <v>-30.521265117418015</v>
      </c>
      <c r="D194" s="2">
        <f>Masks!A194</f>
        <v>-148.47032539791456</v>
      </c>
      <c r="E194" s="2">
        <f>Masks!B194</f>
        <v>-148.47032539791456</v>
      </c>
      <c r="F194" s="2">
        <f>Calculate[[#This Row],[Tx_PSD_us]]+Calculate[[#This Row],[IL]]</f>
        <v>-178.99159051533258</v>
      </c>
      <c r="G194" s="2">
        <f>Calculate[[#This Row],[Tx_PSD_ds]]+Calculate[[#This Row],[IL]]</f>
        <v>-178.99159051533258</v>
      </c>
      <c r="H194" s="2">
        <f>Masks[[#This Row],[channel_echo]]</f>
        <v>-8.2198762407735106</v>
      </c>
      <c r="I194" s="2">
        <f>Masks[[#This Row],[channel_echo]]</f>
        <v>-8.2198762407735106</v>
      </c>
      <c r="J194" s="2">
        <f>Calculate[[#This Row],[Echo_transfer_us]]+Calculate[[#This Row],[Tx_PSD_ds]]</f>
        <v>-156.69020163868808</v>
      </c>
      <c r="K194" s="2">
        <f>Calculate[[#This Row],[Echo_transfer_ds]]+Calculate[[#This Row],[Tx_PSD_us]]</f>
        <v>-156.69020163868808</v>
      </c>
      <c r="L194" s="2">
        <f t="shared" ref="L194:L201" si="30">AFE_noise_us</f>
        <v>-140</v>
      </c>
      <c r="M194" s="2">
        <f t="shared" ref="M194:M201" si="31">AFE_noise_ds</f>
        <v>-140</v>
      </c>
      <c r="N194" s="2">
        <f t="shared" ref="N194:N201" si="32">EC_cancel_us</f>
        <v>5</v>
      </c>
      <c r="O194" s="2">
        <f t="shared" ref="O194:O201" si="33">EC_cancel_ds</f>
        <v>5</v>
      </c>
      <c r="P194" s="2">
        <f>10*LOG10((10^(Calculate[[#This Row],[Rx_echo_us]]/10))-(10^((Masks[[#This Row],[connector_echo]]+Calculate[[#This Row],[Tx_PSD_ds]])/10))*EC_conector_ratio_us)-Calculate[[#This Row],[EC_cancelation_us]]</f>
        <v>-193.47032539792991</v>
      </c>
      <c r="Q194" s="2">
        <f>10*LOG10((10^(Calculate[[#This Row],[Rx_echo_ds]]/10))-(10^((Masks[[#This Row],[connector_echo]]+Calculate[[#This Row],[Tx_PSD_us]])/10))*EC_conector_ratio_ds)-Calculate[[#This Row],[EC_cancelation_ds]]</f>
        <v>-193.47032539792991</v>
      </c>
      <c r="R194" s="2">
        <f>10*LOG10(POWER(10,Calculate[[#This Row],[AFE_noise_us]]/10)+POWER(10,Calculate[[#This Row],[Echo_res_us]]/10))</f>
        <v>-139.99998046781653</v>
      </c>
      <c r="S194" s="2">
        <f>10*LOG10(POWER(10,Calculate[[#This Row],[AFE_noise_ds]]/10)+POWER(10,Calculate[[#This Row],[Echo_res_ds]]/10))</f>
        <v>-139.99998046781653</v>
      </c>
      <c r="T194" s="2">
        <f>Calculate[[#This Row],[Rx_PSD_us]]-Calculate[[#This Row],[Noise_us]]</f>
        <v>-38.991610047516048</v>
      </c>
      <c r="U194" s="2">
        <f>Calculate[[#This Row],[Rx_PSD_ds]]-Calculate[[#This Row],[Noise_ds]]</f>
        <v>-38.991610047516048</v>
      </c>
      <c r="V194" s="2">
        <f>POWER(10,Calculate[[#This Row],[SNRdB_us]]/10)</f>
        <v>1.2613598275776011E-4</v>
      </c>
      <c r="W194" s="2">
        <f>POWER(10,Calculate[[#This Row],[SNRdB_ds]]/10)</f>
        <v>1.2613598275776011E-4</v>
      </c>
      <c r="X194" s="2">
        <f>-(0.002*Calculate[[#This Row],[Freq]]/1000000/2.5+0.68*(Calculate[[#This Row],[Freq]]/1000000/2.5)^0.45)</f>
        <v>-33.609361840856167</v>
      </c>
    </row>
    <row r="195" spans="1:24" x14ac:dyDescent="0.25">
      <c r="A195" s="34">
        <f t="shared" ref="A195:A201" si="34">f_step+A194</f>
        <v>8730000000</v>
      </c>
      <c r="B195" s="1">
        <f>Calculate[[#This Row],[Freq]]-A194</f>
        <v>45000000</v>
      </c>
      <c r="C195">
        <f>Channels!B195*cable_length</f>
        <v>-30.623079096565419</v>
      </c>
      <c r="D195" s="2">
        <f>Masks!A195</f>
        <v>-148.47032539791456</v>
      </c>
      <c r="E195" s="2">
        <f>Masks!B195</f>
        <v>-148.47032539791456</v>
      </c>
      <c r="F195" s="2">
        <f>Calculate[[#This Row],[Tx_PSD_us]]+Calculate[[#This Row],[IL]]</f>
        <v>-179.09340449447998</v>
      </c>
      <c r="G195" s="2">
        <f>Calculate[[#This Row],[Tx_PSD_ds]]+Calculate[[#This Row],[IL]]</f>
        <v>-179.09340449447998</v>
      </c>
      <c r="H195" s="2">
        <f>Masks[[#This Row],[channel_echo]]</f>
        <v>-8.1978807765105888</v>
      </c>
      <c r="I195" s="2">
        <f>Masks[[#This Row],[channel_echo]]</f>
        <v>-8.1978807765105888</v>
      </c>
      <c r="J195" s="2">
        <f>Calculate[[#This Row],[Echo_transfer_us]]+Calculate[[#This Row],[Tx_PSD_ds]]</f>
        <v>-156.66820617442517</v>
      </c>
      <c r="K195" s="2">
        <f>Calculate[[#This Row],[Echo_transfer_ds]]+Calculate[[#This Row],[Tx_PSD_us]]</f>
        <v>-156.66820617442517</v>
      </c>
      <c r="L195" s="2">
        <f t="shared" si="30"/>
        <v>-140</v>
      </c>
      <c r="M195" s="2">
        <f t="shared" si="31"/>
        <v>-140</v>
      </c>
      <c r="N195" s="2">
        <f t="shared" si="32"/>
        <v>5</v>
      </c>
      <c r="O195" s="2">
        <f t="shared" si="33"/>
        <v>5</v>
      </c>
      <c r="P195" s="2">
        <f>10*LOG10((10^(Calculate[[#This Row],[Rx_echo_us]]/10))-(10^((Masks[[#This Row],[connector_echo]]+Calculate[[#This Row],[Tx_PSD_ds]])/10))*EC_conector_ratio_us)-Calculate[[#This Row],[EC_cancelation_us]]</f>
        <v>-193.47032539792011</v>
      </c>
      <c r="Q195" s="2">
        <f>10*LOG10((10^(Calculate[[#This Row],[Rx_echo_ds]]/10))-(10^((Masks[[#This Row],[connector_echo]]+Calculate[[#This Row],[Tx_PSD_us]])/10))*EC_conector_ratio_ds)-Calculate[[#This Row],[EC_cancelation_ds]]</f>
        <v>-193.47032539792011</v>
      </c>
      <c r="R195" s="2">
        <f>10*LOG10(POWER(10,Calculate[[#This Row],[AFE_noise_us]]/10)+POWER(10,Calculate[[#This Row],[Echo_res_us]]/10))</f>
        <v>-139.99998046781653</v>
      </c>
      <c r="S195" s="2">
        <f>10*LOG10(POWER(10,Calculate[[#This Row],[AFE_noise_ds]]/10)+POWER(10,Calculate[[#This Row],[Echo_res_ds]]/10))</f>
        <v>-139.99998046781653</v>
      </c>
      <c r="T195" s="2">
        <f>Calculate[[#This Row],[Rx_PSD_us]]-Calculate[[#This Row],[Noise_us]]</f>
        <v>-39.093424026663456</v>
      </c>
      <c r="U195" s="2">
        <f>Calculate[[#This Row],[Rx_PSD_ds]]-Calculate[[#This Row],[Noise_ds]]</f>
        <v>-39.093424026663456</v>
      </c>
      <c r="V195" s="2">
        <f>POWER(10,Calculate[[#This Row],[SNRdB_us]]/10)</f>
        <v>1.2321330226182888E-4</v>
      </c>
      <c r="W195" s="2">
        <f>POWER(10,Calculate[[#This Row],[SNRdB_ds]]/10)</f>
        <v>1.2321330226182888E-4</v>
      </c>
      <c r="X195" s="2">
        <f>-(0.002*Calculate[[#This Row],[Freq]]/1000000/2.5+0.68*(Calculate[[#This Row],[Freq]]/1000000/2.5)^0.45)</f>
        <v>-33.707437298874432</v>
      </c>
    </row>
    <row r="196" spans="1:24" x14ac:dyDescent="0.25">
      <c r="A196" s="34">
        <f t="shared" si="34"/>
        <v>8775000000</v>
      </c>
      <c r="B196" s="1">
        <f>Calculate[[#This Row],[Freq]]-A195</f>
        <v>45000000</v>
      </c>
      <c r="C196">
        <f>Channels!B196*cable_length</f>
        <v>-30.72474846256112</v>
      </c>
      <c r="D196" s="2">
        <f>Masks!A196</f>
        <v>-148.47032539791456</v>
      </c>
      <c r="E196" s="2">
        <f>Masks!B196</f>
        <v>-148.47032539791456</v>
      </c>
      <c r="F196" s="2">
        <f>Calculate[[#This Row],[Tx_PSD_us]]+Calculate[[#This Row],[IL]]</f>
        <v>-179.19507386047567</v>
      </c>
      <c r="G196" s="2">
        <f>Calculate[[#This Row],[Tx_PSD_ds]]+Calculate[[#This Row],[IL]]</f>
        <v>-179.19507386047567</v>
      </c>
      <c r="H196" s="2">
        <f>Masks[[#This Row],[channel_echo]]</f>
        <v>-8.1759961502982428</v>
      </c>
      <c r="I196" s="2">
        <f>Masks[[#This Row],[channel_echo]]</f>
        <v>-8.1759961502982428</v>
      </c>
      <c r="J196" s="2">
        <f>Calculate[[#This Row],[Echo_transfer_us]]+Calculate[[#This Row],[Tx_PSD_ds]]</f>
        <v>-156.6463215482128</v>
      </c>
      <c r="K196" s="2">
        <f>Calculate[[#This Row],[Echo_transfer_ds]]+Calculate[[#This Row],[Tx_PSD_us]]</f>
        <v>-156.6463215482128</v>
      </c>
      <c r="L196" s="2">
        <f t="shared" si="30"/>
        <v>-140</v>
      </c>
      <c r="M196" s="2">
        <f t="shared" si="31"/>
        <v>-140</v>
      </c>
      <c r="N196" s="2">
        <f t="shared" si="32"/>
        <v>5</v>
      </c>
      <c r="O196" s="2">
        <f t="shared" si="33"/>
        <v>5</v>
      </c>
      <c r="P196" s="2">
        <f>10*LOG10((10^(Calculate[[#This Row],[Rx_echo_us]]/10))-(10^((Masks[[#This Row],[connector_echo]]+Calculate[[#This Row],[Tx_PSD_ds]])/10))*EC_conector_ratio_us)-Calculate[[#This Row],[EC_cancelation_us]]</f>
        <v>-193.47032539786966</v>
      </c>
      <c r="Q196" s="2">
        <f>10*LOG10((10^(Calculate[[#This Row],[Rx_echo_ds]]/10))-(10^((Masks[[#This Row],[connector_echo]]+Calculate[[#This Row],[Tx_PSD_us]])/10))*EC_conector_ratio_ds)-Calculate[[#This Row],[EC_cancelation_ds]]</f>
        <v>-193.47032539786966</v>
      </c>
      <c r="R196" s="2">
        <f>10*LOG10(POWER(10,Calculate[[#This Row],[AFE_noise_us]]/10)+POWER(10,Calculate[[#This Row],[Echo_res_us]]/10))</f>
        <v>-139.99998046781653</v>
      </c>
      <c r="S196" s="2">
        <f>10*LOG10(POWER(10,Calculate[[#This Row],[AFE_noise_ds]]/10)+POWER(10,Calculate[[#This Row],[Echo_res_ds]]/10))</f>
        <v>-139.99998046781653</v>
      </c>
      <c r="T196" s="2">
        <f>Calculate[[#This Row],[Rx_PSD_us]]-Calculate[[#This Row],[Noise_us]]</f>
        <v>-39.195093392659146</v>
      </c>
      <c r="U196" s="2">
        <f>Calculate[[#This Row],[Rx_PSD_ds]]-Calculate[[#This Row],[Noise_ds]]</f>
        <v>-39.195093392659146</v>
      </c>
      <c r="V196" s="2">
        <f>POWER(10,Calculate[[#This Row],[SNRdB_us]]/10)</f>
        <v>1.2036235062460126E-4</v>
      </c>
      <c r="W196" s="2">
        <f>POWER(10,Calculate[[#This Row],[SNRdB_ds]]/10)</f>
        <v>1.2036235062460126E-4</v>
      </c>
      <c r="X196" s="2">
        <f>-(0.002*Calculate[[#This Row],[Freq]]/1000000/2.5+0.68*(Calculate[[#This Row],[Freq]]/1000000/2.5)^0.45)</f>
        <v>-33.805337018009297</v>
      </c>
    </row>
    <row r="197" spans="1:24" x14ac:dyDescent="0.25">
      <c r="A197" s="34">
        <f t="shared" si="34"/>
        <v>8820000000</v>
      </c>
      <c r="B197" s="1">
        <f>Calculate[[#This Row],[Freq]]-A196</f>
        <v>45000000</v>
      </c>
      <c r="C197">
        <f>Channels!B197*cable_length</f>
        <v>-30.826274326398789</v>
      </c>
      <c r="D197" s="2">
        <f>Masks!A197</f>
        <v>-148.47032539791456</v>
      </c>
      <c r="E197" s="2">
        <f>Masks!B197</f>
        <v>-148.47032539791456</v>
      </c>
      <c r="F197" s="2">
        <f>Calculate[[#This Row],[Tx_PSD_us]]+Calculate[[#This Row],[IL]]</f>
        <v>-179.29659972431335</v>
      </c>
      <c r="G197" s="2">
        <f>Calculate[[#This Row],[Tx_PSD_ds]]+Calculate[[#This Row],[IL]]</f>
        <v>-179.29659972431335</v>
      </c>
      <c r="H197" s="2">
        <f>Masks[[#This Row],[channel_echo]]</f>
        <v>-8.1542212506797522</v>
      </c>
      <c r="I197" s="2">
        <f>Masks[[#This Row],[channel_echo]]</f>
        <v>-8.1542212506797522</v>
      </c>
      <c r="J197" s="2">
        <f>Calculate[[#This Row],[Echo_transfer_us]]+Calculate[[#This Row],[Tx_PSD_ds]]</f>
        <v>-156.6245466485943</v>
      </c>
      <c r="K197" s="2">
        <f>Calculate[[#This Row],[Echo_transfer_ds]]+Calculate[[#This Row],[Tx_PSD_us]]</f>
        <v>-156.6245466485943</v>
      </c>
      <c r="L197" s="2">
        <f t="shared" si="30"/>
        <v>-140</v>
      </c>
      <c r="M197" s="2">
        <f t="shared" si="31"/>
        <v>-140</v>
      </c>
      <c r="N197" s="2">
        <f t="shared" si="32"/>
        <v>5</v>
      </c>
      <c r="O197" s="2">
        <f t="shared" si="33"/>
        <v>5</v>
      </c>
      <c r="P197" s="2">
        <f>10*LOG10((10^(Calculate[[#This Row],[Rx_echo_us]]/10))-(10^((Masks[[#This Row],[connector_echo]]+Calculate[[#This Row],[Tx_PSD_ds]])/10))*EC_conector_ratio_us)-Calculate[[#This Row],[EC_cancelation_us]]</f>
        <v>-193.47032539790206</v>
      </c>
      <c r="Q197" s="2">
        <f>10*LOG10((10^(Calculate[[#This Row],[Rx_echo_ds]]/10))-(10^((Masks[[#This Row],[connector_echo]]+Calculate[[#This Row],[Tx_PSD_us]])/10))*EC_conector_ratio_ds)-Calculate[[#This Row],[EC_cancelation_ds]]</f>
        <v>-193.47032539790206</v>
      </c>
      <c r="R197" s="2">
        <f>10*LOG10(POWER(10,Calculate[[#This Row],[AFE_noise_us]]/10)+POWER(10,Calculate[[#This Row],[Echo_res_us]]/10))</f>
        <v>-139.99998046781653</v>
      </c>
      <c r="S197" s="2">
        <f>10*LOG10(POWER(10,Calculate[[#This Row],[AFE_noise_ds]]/10)+POWER(10,Calculate[[#This Row],[Echo_res_ds]]/10))</f>
        <v>-139.99998046781653</v>
      </c>
      <c r="T197" s="2">
        <f>Calculate[[#This Row],[Rx_PSD_us]]-Calculate[[#This Row],[Noise_us]]</f>
        <v>-39.296619256496825</v>
      </c>
      <c r="U197" s="2">
        <f>Calculate[[#This Row],[Rx_PSD_ds]]-Calculate[[#This Row],[Noise_ds]]</f>
        <v>-39.296619256496825</v>
      </c>
      <c r="V197" s="2">
        <f>POWER(10,Calculate[[#This Row],[SNRdB_us]]/10)</f>
        <v>1.175812504091516E-4</v>
      </c>
      <c r="W197" s="2">
        <f>POWER(10,Calculate[[#This Row],[SNRdB_ds]]/10)</f>
        <v>1.175812504091516E-4</v>
      </c>
      <c r="X197" s="2">
        <f>-(0.002*Calculate[[#This Row],[Freq]]/1000000/2.5+0.68*(Calculate[[#This Row],[Freq]]/1000000/2.5)^0.45)</f>
        <v>-33.903062393203655</v>
      </c>
    </row>
    <row r="198" spans="1:24" x14ac:dyDescent="0.25">
      <c r="A198" s="34">
        <f t="shared" si="34"/>
        <v>8865000000</v>
      </c>
      <c r="B198" s="1">
        <f>Calculate[[#This Row],[Freq]]-A197</f>
        <v>45000000</v>
      </c>
      <c r="C198">
        <f>Channels!B198*cable_length</f>
        <v>-30.92765778491912</v>
      </c>
      <c r="D198" s="2">
        <f>Masks!A198</f>
        <v>-148.47032539791456</v>
      </c>
      <c r="E198" s="2">
        <f>Masks!B198</f>
        <v>-148.47032539791456</v>
      </c>
      <c r="F198" s="2">
        <f>Calculate[[#This Row],[Tx_PSD_us]]+Calculate[[#This Row],[IL]]</f>
        <v>-179.39798318283368</v>
      </c>
      <c r="G198" s="2">
        <f>Calculate[[#This Row],[Tx_PSD_ds]]+Calculate[[#This Row],[IL]]</f>
        <v>-179.39798318283368</v>
      </c>
      <c r="H198" s="2">
        <f>Masks[[#This Row],[channel_echo]]</f>
        <v>-8.1325549828331418</v>
      </c>
      <c r="I198" s="2">
        <f>Masks[[#This Row],[channel_echo]]</f>
        <v>-8.1325549828331418</v>
      </c>
      <c r="J198" s="2">
        <f>Calculate[[#This Row],[Echo_transfer_us]]+Calculate[[#This Row],[Tx_PSD_ds]]</f>
        <v>-156.60288038074771</v>
      </c>
      <c r="K198" s="2">
        <f>Calculate[[#This Row],[Echo_transfer_ds]]+Calculate[[#This Row],[Tx_PSD_us]]</f>
        <v>-156.60288038074771</v>
      </c>
      <c r="L198" s="2">
        <f t="shared" si="30"/>
        <v>-140</v>
      </c>
      <c r="M198" s="2">
        <f t="shared" si="31"/>
        <v>-140</v>
      </c>
      <c r="N198" s="2">
        <f t="shared" si="32"/>
        <v>5</v>
      </c>
      <c r="O198" s="2">
        <f t="shared" si="33"/>
        <v>5</v>
      </c>
      <c r="P198" s="2">
        <f>10*LOG10((10^(Calculate[[#This Row],[Rx_echo_us]]/10))-(10^((Masks[[#This Row],[connector_echo]]+Calculate[[#This Row],[Tx_PSD_ds]])/10))*EC_conector_ratio_us)-Calculate[[#This Row],[EC_cancelation_us]]</f>
        <v>-193.4703253979111</v>
      </c>
      <c r="Q198" s="2">
        <f>10*LOG10((10^(Calculate[[#This Row],[Rx_echo_ds]]/10))-(10^((Masks[[#This Row],[connector_echo]]+Calculate[[#This Row],[Tx_PSD_us]])/10))*EC_conector_ratio_ds)-Calculate[[#This Row],[EC_cancelation_ds]]</f>
        <v>-193.4703253979111</v>
      </c>
      <c r="R198" s="2">
        <f>10*LOG10(POWER(10,Calculate[[#This Row],[AFE_noise_us]]/10)+POWER(10,Calculate[[#This Row],[Echo_res_us]]/10))</f>
        <v>-139.99998046781653</v>
      </c>
      <c r="S198" s="2">
        <f>10*LOG10(POWER(10,Calculate[[#This Row],[AFE_noise_ds]]/10)+POWER(10,Calculate[[#This Row],[Echo_res_ds]]/10))</f>
        <v>-139.99998046781653</v>
      </c>
      <c r="T198" s="2">
        <f>Calculate[[#This Row],[Rx_PSD_us]]-Calculate[[#This Row],[Noise_us]]</f>
        <v>-39.398002715017157</v>
      </c>
      <c r="U198" s="2">
        <f>Calculate[[#This Row],[Rx_PSD_ds]]-Calculate[[#This Row],[Noise_ds]]</f>
        <v>-39.398002715017157</v>
      </c>
      <c r="V198" s="2">
        <f>POWER(10,Calculate[[#This Row],[SNRdB_us]]/10)</f>
        <v>1.1486817694408097E-4</v>
      </c>
      <c r="W198" s="2">
        <f>POWER(10,Calculate[[#This Row],[SNRdB_ds]]/10)</f>
        <v>1.1486817694408097E-4</v>
      </c>
      <c r="X198" s="2">
        <f>-(0.002*Calculate[[#This Row],[Freq]]/1000000/2.5+0.68*(Calculate[[#This Row],[Freq]]/1000000/2.5)^0.45)</f>
        <v>-34.000614801277216</v>
      </c>
    </row>
    <row r="199" spans="1:24" x14ac:dyDescent="0.25">
      <c r="A199" s="34">
        <f t="shared" si="34"/>
        <v>8910000000</v>
      </c>
      <c r="B199" s="1">
        <f>Calculate[[#This Row],[Freq]]-A198</f>
        <v>45000000</v>
      </c>
      <c r="C199">
        <f>Channels!B199*cable_length</f>
        <v>-31.028899921061043</v>
      </c>
      <c r="D199" s="2">
        <f>Masks!A199</f>
        <v>-148.47032539791456</v>
      </c>
      <c r="E199" s="2">
        <f>Masks!B199</f>
        <v>-148.47032539791456</v>
      </c>
      <c r="F199" s="2">
        <f>Calculate[[#This Row],[Tx_PSD_us]]+Calculate[[#This Row],[IL]]</f>
        <v>-179.49922531897562</v>
      </c>
      <c r="G199" s="2">
        <f>Calculate[[#This Row],[Tx_PSD_ds]]+Calculate[[#This Row],[IL]]</f>
        <v>-179.49922531897562</v>
      </c>
      <c r="H199" s="2">
        <f>Masks[[#This Row],[channel_echo]]</f>
        <v>-8.110996268240882</v>
      </c>
      <c r="I199" s="2">
        <f>Masks[[#This Row],[channel_echo]]</f>
        <v>-8.110996268240882</v>
      </c>
      <c r="J199" s="2">
        <f>Calculate[[#This Row],[Echo_transfer_us]]+Calculate[[#This Row],[Tx_PSD_ds]]</f>
        <v>-156.58132166615545</v>
      </c>
      <c r="K199" s="2">
        <f>Calculate[[#This Row],[Echo_transfer_ds]]+Calculate[[#This Row],[Tx_PSD_us]]</f>
        <v>-156.58132166615545</v>
      </c>
      <c r="L199" s="2">
        <f t="shared" si="30"/>
        <v>-140</v>
      </c>
      <c r="M199" s="2">
        <f t="shared" si="31"/>
        <v>-140</v>
      </c>
      <c r="N199" s="2">
        <f t="shared" si="32"/>
        <v>5</v>
      </c>
      <c r="O199" s="2">
        <f t="shared" si="33"/>
        <v>5</v>
      </c>
      <c r="P199" s="2">
        <f>10*LOG10((10^(Calculate[[#This Row],[Rx_echo_us]]/10))-(10^((Masks[[#This Row],[connector_echo]]+Calculate[[#This Row],[Tx_PSD_ds]])/10))*EC_conector_ratio_us)-Calculate[[#This Row],[EC_cancelation_us]]</f>
        <v>-193.47032539793895</v>
      </c>
      <c r="Q199" s="2">
        <f>10*LOG10((10^(Calculate[[#This Row],[Rx_echo_ds]]/10))-(10^((Masks[[#This Row],[connector_echo]]+Calculate[[#This Row],[Tx_PSD_us]])/10))*EC_conector_ratio_ds)-Calculate[[#This Row],[EC_cancelation_ds]]</f>
        <v>-193.47032539793895</v>
      </c>
      <c r="R199" s="2">
        <f>10*LOG10(POWER(10,Calculate[[#This Row],[AFE_noise_us]]/10)+POWER(10,Calculate[[#This Row],[Echo_res_us]]/10))</f>
        <v>-139.99998046781653</v>
      </c>
      <c r="S199" s="2">
        <f>10*LOG10(POWER(10,Calculate[[#This Row],[AFE_noise_ds]]/10)+POWER(10,Calculate[[#This Row],[Echo_res_ds]]/10))</f>
        <v>-139.99998046781653</v>
      </c>
      <c r="T199" s="2">
        <f>Calculate[[#This Row],[Rx_PSD_us]]-Calculate[[#This Row],[Noise_us]]</f>
        <v>-39.499244851159091</v>
      </c>
      <c r="U199" s="2">
        <f>Calculate[[#This Row],[Rx_PSD_ds]]-Calculate[[#This Row],[Noise_ds]]</f>
        <v>-39.499244851159091</v>
      </c>
      <c r="V199" s="2">
        <f>POWER(10,Calculate[[#This Row],[SNRdB_us]]/10)</f>
        <v>1.1222135672122258E-4</v>
      </c>
      <c r="W199" s="2">
        <f>POWER(10,Calculate[[#This Row],[SNRdB_ds]]/10)</f>
        <v>1.1222135672122258E-4</v>
      </c>
      <c r="X199" s="2">
        <f>-(0.002*Calculate[[#This Row],[Freq]]/1000000/2.5+0.68*(Calculate[[#This Row],[Freq]]/1000000/2.5)^0.45)</f>
        <v>-34.097995601252464</v>
      </c>
    </row>
    <row r="200" spans="1:24" x14ac:dyDescent="0.25">
      <c r="A200" s="34">
        <f t="shared" si="34"/>
        <v>8955000000</v>
      </c>
      <c r="B200" s="1">
        <f>Calculate[[#This Row],[Freq]]-A199</f>
        <v>45000000</v>
      </c>
      <c r="C200">
        <f>Channels!B200*cable_length</f>
        <v>-31.130001804107057</v>
      </c>
      <c r="D200" s="2">
        <f>Masks!A200</f>
        <v>-148.47032539791456</v>
      </c>
      <c r="E200" s="2">
        <f>Masks!B200</f>
        <v>-148.47032539791456</v>
      </c>
      <c r="F200" s="2">
        <f>Calculate[[#This Row],[Tx_PSD_us]]+Calculate[[#This Row],[IL]]</f>
        <v>-179.60032720202162</v>
      </c>
      <c r="G200" s="2">
        <f>Calculate[[#This Row],[Tx_PSD_ds]]+Calculate[[#This Row],[IL]]</f>
        <v>-179.60032720202162</v>
      </c>
      <c r="H200" s="2">
        <f>Masks[[#This Row],[channel_echo]]</f>
        <v>-8.0895440443677451</v>
      </c>
      <c r="I200" s="2">
        <f>Masks[[#This Row],[channel_echo]]</f>
        <v>-8.0895440443677451</v>
      </c>
      <c r="J200" s="2">
        <f>Calculate[[#This Row],[Echo_transfer_us]]+Calculate[[#This Row],[Tx_PSD_ds]]</f>
        <v>-156.55986944228232</v>
      </c>
      <c r="K200" s="2">
        <f>Calculate[[#This Row],[Echo_transfer_ds]]+Calculate[[#This Row],[Tx_PSD_us]]</f>
        <v>-156.55986944228232</v>
      </c>
      <c r="L200" s="2">
        <f t="shared" si="30"/>
        <v>-140</v>
      </c>
      <c r="M200" s="2">
        <f t="shared" si="31"/>
        <v>-140</v>
      </c>
      <c r="N200" s="2">
        <f t="shared" si="32"/>
        <v>5</v>
      </c>
      <c r="O200" s="2">
        <f t="shared" si="33"/>
        <v>5</v>
      </c>
      <c r="P200" s="2">
        <f>10*LOG10((10^(Calculate[[#This Row],[Rx_echo_us]]/10))-(10^((Masks[[#This Row],[connector_echo]]+Calculate[[#This Row],[Tx_PSD_ds]])/10))*EC_conector_ratio_us)-Calculate[[#This Row],[EC_cancelation_us]]</f>
        <v>-193.47032539792011</v>
      </c>
      <c r="Q200" s="2">
        <f>10*LOG10((10^(Calculate[[#This Row],[Rx_echo_ds]]/10))-(10^((Masks[[#This Row],[connector_echo]]+Calculate[[#This Row],[Tx_PSD_us]])/10))*EC_conector_ratio_ds)-Calculate[[#This Row],[EC_cancelation_ds]]</f>
        <v>-193.47032539792011</v>
      </c>
      <c r="R200" s="2">
        <f>10*LOG10(POWER(10,Calculate[[#This Row],[AFE_noise_us]]/10)+POWER(10,Calculate[[#This Row],[Echo_res_us]]/10))</f>
        <v>-139.99998046781653</v>
      </c>
      <c r="S200" s="2">
        <f>10*LOG10(POWER(10,Calculate[[#This Row],[AFE_noise_ds]]/10)+POWER(10,Calculate[[#This Row],[Echo_res_ds]]/10))</f>
        <v>-139.99998046781653</v>
      </c>
      <c r="T200" s="2">
        <f>Calculate[[#This Row],[Rx_PSD_us]]-Calculate[[#This Row],[Noise_us]]</f>
        <v>-39.60034673420509</v>
      </c>
      <c r="U200" s="2">
        <f>Calculate[[#This Row],[Rx_PSD_ds]]-Calculate[[#This Row],[Noise_ds]]</f>
        <v>-39.60034673420509</v>
      </c>
      <c r="V200" s="2">
        <f>POWER(10,Calculate[[#This Row],[SNRdB_us]]/10)</f>
        <v>1.0963906584619055E-4</v>
      </c>
      <c r="W200" s="2">
        <f>POWER(10,Calculate[[#This Row],[SNRdB_ds]]/10)</f>
        <v>1.0963906584619055E-4</v>
      </c>
      <c r="X200" s="2">
        <f>-(0.002*Calculate[[#This Row],[Freq]]/1000000/2.5+0.68*(Calculate[[#This Row],[Freq]]/1000000/2.5)^0.45)</f>
        <v>-34.195206134673469</v>
      </c>
    </row>
    <row r="201" spans="1:24" x14ac:dyDescent="0.25">
      <c r="A201" s="34">
        <f t="shared" si="34"/>
        <v>9000000000</v>
      </c>
      <c r="B201" s="1">
        <f>Calculate[[#This Row],[Freq]]-A200</f>
        <v>45000000</v>
      </c>
      <c r="C201">
        <f>Channels!B201*cable_length</f>
        <v>-31.230964489923203</v>
      </c>
      <c r="D201" s="2">
        <f>Masks!A201</f>
        <v>-148.47032539791456</v>
      </c>
      <c r="E201" s="2">
        <f>Masks!B201</f>
        <v>-148.47032539791456</v>
      </c>
      <c r="F201" s="2">
        <f>Calculate[[#This Row],[Tx_PSD_us]]+Calculate[[#This Row],[IL]]</f>
        <v>-179.70128988783776</v>
      </c>
      <c r="G201" s="2">
        <f>Calculate[[#This Row],[Tx_PSD_ds]]+Calculate[[#This Row],[IL]]</f>
        <v>-179.70128988783776</v>
      </c>
      <c r="H201" s="2">
        <f>Masks[[#This Row],[channel_echo]]</f>
        <v>-8.0681972643465478</v>
      </c>
      <c r="I201" s="2">
        <f>Masks[[#This Row],[channel_echo]]</f>
        <v>-8.0681972643465478</v>
      </c>
      <c r="J201" s="2">
        <f>Calculate[[#This Row],[Echo_transfer_us]]+Calculate[[#This Row],[Tx_PSD_ds]]</f>
        <v>-156.5385226622611</v>
      </c>
      <c r="K201" s="2">
        <f>Calculate[[#This Row],[Echo_transfer_ds]]+Calculate[[#This Row],[Tx_PSD_us]]</f>
        <v>-156.5385226622611</v>
      </c>
      <c r="L201" s="2">
        <f t="shared" si="30"/>
        <v>-140</v>
      </c>
      <c r="M201" s="2">
        <f t="shared" si="31"/>
        <v>-140</v>
      </c>
      <c r="N201" s="2">
        <f t="shared" si="32"/>
        <v>5</v>
      </c>
      <c r="O201" s="2">
        <f t="shared" si="33"/>
        <v>5</v>
      </c>
      <c r="P201" s="2">
        <f>10*LOG10((10^(Calculate[[#This Row],[Rx_echo_us]]/10))-(10^((Masks[[#This Row],[connector_echo]]+Calculate[[#This Row],[Tx_PSD_ds]])/10))*EC_conector_ratio_us)-Calculate[[#This Row],[EC_cancelation_us]]</f>
        <v>-193.47032539788171</v>
      </c>
      <c r="Q201" s="2">
        <f>10*LOG10((10^(Calculate[[#This Row],[Rx_echo_ds]]/10))-(10^((Masks[[#This Row],[connector_echo]]+Calculate[[#This Row],[Tx_PSD_us]])/10))*EC_conector_ratio_ds)-Calculate[[#This Row],[EC_cancelation_ds]]</f>
        <v>-193.47032539788171</v>
      </c>
      <c r="R201" s="2">
        <f>10*LOG10(POWER(10,Calculate[[#This Row],[AFE_noise_us]]/10)+POWER(10,Calculate[[#This Row],[Echo_res_us]]/10))</f>
        <v>-139.99998046781653</v>
      </c>
      <c r="S201" s="2">
        <f>10*LOG10(POWER(10,Calculate[[#This Row],[AFE_noise_ds]]/10)+POWER(10,Calculate[[#This Row],[Echo_res_ds]]/10))</f>
        <v>-139.99998046781653</v>
      </c>
      <c r="T201" s="2">
        <f>Calculate[[#This Row],[Rx_PSD_us]]-Calculate[[#This Row],[Noise_us]]</f>
        <v>-39.701309420021232</v>
      </c>
      <c r="U201" s="2">
        <f>Calculate[[#This Row],[Rx_PSD_ds]]-Calculate[[#This Row],[Noise_ds]]</f>
        <v>-39.701309420021232</v>
      </c>
      <c r="V201" s="2">
        <f>POWER(10,Calculate[[#This Row],[SNRdB_us]]/10)</f>
        <v>1.071196285398552E-4</v>
      </c>
      <c r="W201" s="2">
        <f>POWER(10,Calculate[[#This Row],[SNRdB_ds]]/10)</f>
        <v>1.071196285398552E-4</v>
      </c>
      <c r="X201" s="2">
        <f>-(0.002*Calculate[[#This Row],[Freq]]/1000000/2.5+0.68*(Calculate[[#This Row],[Freq]]/1000000/2.5)^0.45)</f>
        <v>-34.292247725917143</v>
      </c>
    </row>
  </sheetData>
  <sheetProtection algorithmName="SHA-512" hashValue="AlUOAD8MMiuiLXcABYWRdHGtJB0nNcoRW1bYAbe1b3LWbhPn0hHji6BXKYztAR7UqAU5mw2FRbUs4n1SOQH0EA==" saltValue="B83ZzYc4E8uZFfTRgtQCPA==" spinCount="100000" sheet="1" objects="1" scenarios="1"/>
  <mergeCells count="1">
    <mergeCell ref="AB11:AC1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2AE5-312C-464F-AE72-637C7BB1B783}">
  <dimension ref="A1:X201"/>
  <sheetViews>
    <sheetView workbookViewId="0">
      <selection activeCell="U22" sqref="U22"/>
    </sheetView>
  </sheetViews>
  <sheetFormatPr defaultRowHeight="15" x14ac:dyDescent="0.25"/>
  <cols>
    <col min="1" max="1" width="12.42578125" style="2" customWidth="1"/>
    <col min="2" max="2" width="15.5703125" style="2" customWidth="1"/>
    <col min="3" max="3" width="2.140625" customWidth="1"/>
    <col min="5" max="5" width="11.140625" style="2" customWidth="1"/>
    <col min="9" max="9" width="11" bestFit="1" customWidth="1"/>
    <col min="13" max="13" width="13.28515625" customWidth="1"/>
    <col min="16" max="18" width="9.140625" style="63"/>
    <col min="19" max="19" width="18.28515625" customWidth="1"/>
    <col min="20" max="20" width="10.85546875" customWidth="1"/>
    <col min="22" max="24" width="12.7109375" customWidth="1"/>
  </cols>
  <sheetData>
    <row r="1" spans="1:24" ht="15.75" thickBot="1" x14ac:dyDescent="0.3">
      <c r="A1" s="2" t="str" cm="1">
        <f t="array" ref="A1:A201">INDEX(Masks[#All],,MATCH(CONCATENATE(psd_mask_us,"_us"),Masks[#Headers],0))</f>
        <v>PSD_brick_us</v>
      </c>
      <c r="B1" s="2" t="str" cm="1">
        <f t="array" ref="B1:B201">INDEX(Masks[#All],,MATCH(CONCATENATE(psd_mask_ds,"_ds"),Masks[#Headers],0))</f>
        <v>PSD_brick_ds</v>
      </c>
      <c r="D1" t="s">
        <v>0</v>
      </c>
      <c r="E1" s="2" t="s">
        <v>5</v>
      </c>
      <c r="F1" t="s">
        <v>6</v>
      </c>
      <c r="G1" t="s">
        <v>11</v>
      </c>
      <c r="H1" t="s">
        <v>12</v>
      </c>
      <c r="I1" t="s">
        <v>28</v>
      </c>
      <c r="J1" t="s">
        <v>32</v>
      </c>
      <c r="K1" t="s">
        <v>30</v>
      </c>
      <c r="L1" t="s">
        <v>31</v>
      </c>
      <c r="M1" t="s">
        <v>34</v>
      </c>
      <c r="N1" t="s">
        <v>33</v>
      </c>
      <c r="O1" t="s">
        <v>35</v>
      </c>
      <c r="P1" s="64" t="s">
        <v>136</v>
      </c>
      <c r="Q1" s="64" t="s">
        <v>135</v>
      </c>
      <c r="S1" t="s">
        <v>94</v>
      </c>
      <c r="T1" cm="1">
        <f t="array" ref="T1">INDEX(ConnectorEcho[C0 Value],MATCH(Config!B28,ConnectorEcho[[Difficulty ]],0),)</f>
        <v>1.6999999999999999E-11</v>
      </c>
      <c r="V1" s="107" t="s">
        <v>133</v>
      </c>
      <c r="W1" s="107"/>
      <c r="X1" s="107"/>
    </row>
    <row r="2" spans="1:24" x14ac:dyDescent="0.25">
      <c r="A2" s="2">
        <v>-98.470325397914564</v>
      </c>
      <c r="B2" s="2">
        <v>-98.470325397914564</v>
      </c>
      <c r="D2" s="1">
        <f>Calculate[[#This Row],[Freq]]</f>
        <v>45000000</v>
      </c>
      <c r="E2" s="2">
        <f>MIN(-90, -89-Masks[[#This Row],[f]]/(600000000*S_ch_us),-82-Masks[[#This Row],[f]]/(250000000*S_ch_us))-K_ch_UPSD_us</f>
        <v>-93.979400086720375</v>
      </c>
      <c r="F2" s="2">
        <f>MIN(-90, -89-Masks[[#This Row],[f]]/(600000000*S_ch_ds),-82-Masks[[#This Row],[f]]/(250000000*S_ch_ds))-K_ch_UPSD_ds</f>
        <v>-93.979400086720375</v>
      </c>
      <c r="G2">
        <f>-MAX(MIN(20,20-10*LOG10(2*Masks[[#This Row],[f]]/480000000)),12-3)</f>
        <v>-20</v>
      </c>
      <c r="H2">
        <f>-MAX(MIN(20,20-10*LOG10(2*Masks[[#This Row],[f]]/480000000)),12-3)</f>
        <v>-20</v>
      </c>
      <c r="I2">
        <f>10*LOG10(POWER(10,Tx_power_us/10)/F_Nyquist_us)+IF(Masks[[#This Row],[f]]&gt;F_Nyquist_us,-50)</f>
        <v>-98.470325397914564</v>
      </c>
      <c r="J2">
        <f>10*LOG10(POWER(10,Tx_power_ds/10)/F_Nyquist_ds)+IF(Masks[[#This Row],[f]]&gt;F_Nyquist_ds,-50)</f>
        <v>-98.470325397914564</v>
      </c>
      <c r="K2" s="3">
        <f>IF(Masks[[#This Row],[f]]&gt;F_Nyquist_us,0,1)</f>
        <v>1</v>
      </c>
      <c r="L2" s="3">
        <f>IF(Masks[[#This Row],[f]]&gt;F_Nyquist_ds,0,1)</f>
        <v>1</v>
      </c>
      <c r="M2" s="3">
        <f>Config!B$7</f>
        <v>-40</v>
      </c>
      <c r="N2" s="3">
        <f>IF(Config!B$8&gt;0,10*LOG10($T$1*Masks[[#This Row],[f]]+Config!B$8*0.00073),-1000)</f>
        <v>-24.335625078049297</v>
      </c>
      <c r="O2" s="3">
        <f>10*LOG10((10^(Masks[[#This Row],[wire_echo]]/10))+(10^(Masks[[#This Row],[connector_echo]]/10)))</f>
        <v>-24.219341161639086</v>
      </c>
      <c r="P2" s="65"/>
      <c r="Q2" s="65"/>
      <c r="V2" s="49"/>
      <c r="W2" s="50" t="str">
        <f>Config!B2</f>
        <v>Upstream</v>
      </c>
      <c r="X2" s="51" t="str">
        <f>Config!C2</f>
        <v>Downstream</v>
      </c>
    </row>
    <row r="3" spans="1:24" x14ac:dyDescent="0.25">
      <c r="A3" s="2">
        <v>-98.470325397914564</v>
      </c>
      <c r="B3" s="2">
        <v>-98.470325397914564</v>
      </c>
      <c r="D3">
        <f>Calculate[[#This Row],[Freq]]</f>
        <v>90000000</v>
      </c>
      <c r="E3" s="2">
        <f>MIN(-90, -89-Masks[[#This Row],[f]]/(600000000*S_ch_us),-82-Masks[[#This Row],[f]]/(250000000*S_ch_us))-K_ch_UPSD_us</f>
        <v>-93.979400086720375</v>
      </c>
      <c r="F3" s="2">
        <f>MIN(-90, -89-Masks[[#This Row],[f]]/(600000000*S_ch_ds),-82-Masks[[#This Row],[f]]/(250000000*S_ch_ds))-K_ch_UPSD_ds</f>
        <v>-93.979400086720375</v>
      </c>
      <c r="G3">
        <f>-MAX(MIN(20,20-10*LOG10(2*Masks[[#This Row],[f]]/480000000)),12-3)</f>
        <v>-20</v>
      </c>
      <c r="H3">
        <f>-MAX(MIN(20,20-10*LOG10(2*Masks[[#This Row],[f]]/480000000)),12-3)</f>
        <v>-20</v>
      </c>
      <c r="I3">
        <f>10*LOG10(POWER(10,Tx_power_us/10)/F_Nyquist_us)+IF(Masks[[#This Row],[f]]&gt;F_Nyquist_us,-50)</f>
        <v>-98.470325397914564</v>
      </c>
      <c r="J3" s="3">
        <f>10*LOG10(POWER(10,Tx_power_ds/10)/F_Nyquist_ds)+IF(Masks[[#This Row],[f]]&gt;F_Nyquist_ds,-50)</f>
        <v>-98.470325397914564</v>
      </c>
      <c r="K3" s="3">
        <f>IF(Masks[[#This Row],[f]]&gt;F_Nyquist_us,0,1)</f>
        <v>1</v>
      </c>
      <c r="L3" s="3">
        <f>IF(Masks[[#This Row],[f]]&gt;F_Nyquist_ds,0,1)</f>
        <v>1</v>
      </c>
      <c r="M3" s="3">
        <f>Config!B$7</f>
        <v>-40</v>
      </c>
      <c r="N3" s="3">
        <f>IF(Config!B$8&gt;0,10*LOG10($T$1*Masks[[#This Row],[f]]+Config!B$8*0.00073),-1000)</f>
        <v>-23.516399890190684</v>
      </c>
      <c r="O3" s="3">
        <f>10*LOG10((10^(Masks[[#This Row],[wire_echo]]/10))+(10^(Masks[[#This Row],[connector_echo]]/10)))</f>
        <v>-23.419886033428877</v>
      </c>
      <c r="P3" s="65"/>
      <c r="Q3" s="65"/>
      <c r="S3" s="106" t="s">
        <v>132</v>
      </c>
      <c r="T3" s="106"/>
      <c r="V3" s="28" t="s">
        <v>65</v>
      </c>
      <c r="W3" s="48">
        <f>Config!B4/10</f>
        <v>2.5</v>
      </c>
      <c r="X3" s="52">
        <f>Config!C4/10</f>
        <v>2.5</v>
      </c>
    </row>
    <row r="4" spans="1:24" ht="15.75" thickBot="1" x14ac:dyDescent="0.3">
      <c r="A4" s="2">
        <v>-98.470325397914564</v>
      </c>
      <c r="B4" s="2">
        <v>-98.470325397914564</v>
      </c>
      <c r="D4">
        <f>Calculate[[#This Row],[Freq]]</f>
        <v>135000000</v>
      </c>
      <c r="E4" s="2">
        <f>MIN(-90, -89-Masks[[#This Row],[f]]/(600000000*S_ch_us),-82-Masks[[#This Row],[f]]/(250000000*S_ch_us))-K_ch_UPSD_us</f>
        <v>-93.979400086720375</v>
      </c>
      <c r="F4" s="2">
        <f>MIN(-90, -89-Masks[[#This Row],[f]]/(600000000*S_ch_ds),-82-Masks[[#This Row],[f]]/(250000000*S_ch_ds))-K_ch_UPSD_ds</f>
        <v>-93.979400086720375</v>
      </c>
      <c r="G4">
        <f>-MAX(MIN(20,20-10*LOG10(2*Masks[[#This Row],[f]]/480000000)),12-3)</f>
        <v>-20</v>
      </c>
      <c r="H4">
        <f>-MAX(MIN(20,20-10*LOG10(2*Masks[[#This Row],[f]]/480000000)),12-3)</f>
        <v>-20</v>
      </c>
      <c r="I4">
        <f>10*LOG10(POWER(10,Tx_power_us/10)/F_Nyquist_us)+IF(Masks[[#This Row],[f]]&gt;F_Nyquist_us,-50)</f>
        <v>-98.470325397914564</v>
      </c>
      <c r="J4" s="3">
        <f>10*LOG10(POWER(10,Tx_power_ds/10)/F_Nyquist_ds)+IF(Masks[[#This Row],[f]]&gt;F_Nyquist_ds,-50)</f>
        <v>-98.470325397914564</v>
      </c>
      <c r="K4" s="3">
        <f>IF(Masks[[#This Row],[f]]&gt;F_Nyquist_us,0,1)</f>
        <v>1</v>
      </c>
      <c r="L4" s="3">
        <f>IF(Masks[[#This Row],[f]]&gt;F_Nyquist_ds,0,1)</f>
        <v>1</v>
      </c>
      <c r="M4" s="3">
        <f>Config!B$7</f>
        <v>-40</v>
      </c>
      <c r="N4" s="3">
        <f>IF(Config!B$8&gt;0,10*LOG10($T$1*Masks[[#This Row],[f]]+Config!B$8*0.00073),-1000)</f>
        <v>-22.827456872374505</v>
      </c>
      <c r="O4" s="3">
        <f>10*LOG10((10^(Masks[[#This Row],[wire_echo]]/10))+(10^(Masks[[#This Row],[connector_echo]]/10)))</f>
        <v>-22.744967311406846</v>
      </c>
      <c r="P4" s="65"/>
      <c r="Q4" s="65"/>
      <c r="S4" t="s">
        <v>93</v>
      </c>
      <c r="T4" t="s">
        <v>81</v>
      </c>
      <c r="V4" s="29" t="s">
        <v>66</v>
      </c>
      <c r="W4" s="55">
        <f>10*LOG10(W3)</f>
        <v>3.9794000867203758</v>
      </c>
      <c r="X4" s="56">
        <f>10*LOG10(X3)</f>
        <v>3.9794000867203758</v>
      </c>
    </row>
    <row r="5" spans="1:24" x14ac:dyDescent="0.25">
      <c r="A5" s="2">
        <v>-98.470325397914564</v>
      </c>
      <c r="B5" s="2">
        <v>-98.470325397914564</v>
      </c>
      <c r="D5">
        <f>Calculate[[#This Row],[Freq]]</f>
        <v>180000000</v>
      </c>
      <c r="E5" s="2">
        <f>MIN(-90, -89-Masks[[#This Row],[f]]/(600000000*S_ch_us),-82-Masks[[#This Row],[f]]/(250000000*S_ch_us))-K_ch_UPSD_us</f>
        <v>-93.979400086720375</v>
      </c>
      <c r="F5" s="2">
        <f>MIN(-90, -89-Masks[[#This Row],[f]]/(600000000*S_ch_ds),-82-Masks[[#This Row],[f]]/(250000000*S_ch_ds))-K_ch_UPSD_ds</f>
        <v>-93.979400086720375</v>
      </c>
      <c r="G5">
        <f>-MAX(MIN(20,20-10*LOG10(2*Masks[[#This Row],[f]]/480000000)),12-3)</f>
        <v>-20</v>
      </c>
      <c r="H5">
        <f>-MAX(MIN(20,20-10*LOG10(2*Masks[[#This Row],[f]]/480000000)),12-3)</f>
        <v>-20</v>
      </c>
      <c r="I5">
        <f>10*LOG10(POWER(10,Tx_power_us/10)/F_Nyquist_us)+IF(Masks[[#This Row],[f]]&gt;F_Nyquist_us,-50)</f>
        <v>-98.470325397914564</v>
      </c>
      <c r="J5" s="3">
        <f>10*LOG10(POWER(10,Tx_power_ds/10)/F_Nyquist_ds)+IF(Masks[[#This Row],[f]]&gt;F_Nyquist_ds,-50)</f>
        <v>-98.470325397914564</v>
      </c>
      <c r="K5" s="3">
        <f>IF(Masks[[#This Row],[f]]&gt;F_Nyquist_us,0,1)</f>
        <v>1</v>
      </c>
      <c r="L5" s="3">
        <f>IF(Masks[[#This Row],[f]]&gt;F_Nyquist_ds,0,1)</f>
        <v>1</v>
      </c>
      <c r="M5" s="3">
        <f>Config!B$7</f>
        <v>-40</v>
      </c>
      <c r="N5" s="3">
        <f>IF(Config!B$8&gt;0,10*LOG10($T$1*Masks[[#This Row],[f]]+Config!B$8*0.00073),-1000)</f>
        <v>-22.232988160115891</v>
      </c>
      <c r="O5" s="3">
        <f>10*LOG10((10^(Masks[[#This Row],[wire_echo]]/10))+(10^(Masks[[#This Row],[connector_echo]]/10)))</f>
        <v>-22.160964207272652</v>
      </c>
      <c r="P5" s="65"/>
      <c r="Q5" s="65"/>
      <c r="S5" t="s">
        <v>85</v>
      </c>
      <c r="T5">
        <v>7.5E-11</v>
      </c>
    </row>
    <row r="6" spans="1:24" x14ac:dyDescent="0.25">
      <c r="A6" s="2">
        <v>-98.470325397914564</v>
      </c>
      <c r="B6" s="2">
        <v>-98.470325397914564</v>
      </c>
      <c r="D6">
        <f>Calculate[[#This Row],[Freq]]</f>
        <v>225000000</v>
      </c>
      <c r="E6" s="2">
        <f>MIN(-90, -89-Masks[[#This Row],[f]]/(600000000*S_ch_us),-82-Masks[[#This Row],[f]]/(250000000*S_ch_us))-K_ch_UPSD_us</f>
        <v>-93.979400086720375</v>
      </c>
      <c r="F6" s="2">
        <f>MIN(-90, -89-Masks[[#This Row],[f]]/(600000000*S_ch_ds),-82-Masks[[#This Row],[f]]/(250000000*S_ch_ds))-K_ch_UPSD_ds</f>
        <v>-93.979400086720375</v>
      </c>
      <c r="G6">
        <f>-MAX(MIN(20,20-10*LOG10(2*Masks[[#This Row],[f]]/480000000)),12-3)</f>
        <v>-20</v>
      </c>
      <c r="H6">
        <f>-MAX(MIN(20,20-10*LOG10(2*Masks[[#This Row],[f]]/480000000)),12-3)</f>
        <v>-20</v>
      </c>
      <c r="I6">
        <f>10*LOG10(POWER(10,Tx_power_us/10)/F_Nyquist_us)+IF(Masks[[#This Row],[f]]&gt;F_Nyquist_us,-50)</f>
        <v>-98.470325397914564</v>
      </c>
      <c r="J6" s="3">
        <f>10*LOG10(POWER(10,Tx_power_ds/10)/F_Nyquist_ds)+IF(Masks[[#This Row],[f]]&gt;F_Nyquist_ds,-50)</f>
        <v>-98.470325397914564</v>
      </c>
      <c r="K6" s="3">
        <f>IF(Masks[[#This Row],[f]]&gt;F_Nyquist_us,0,1)</f>
        <v>1</v>
      </c>
      <c r="L6" s="3">
        <f>IF(Masks[[#This Row],[f]]&gt;F_Nyquist_ds,0,1)</f>
        <v>1</v>
      </c>
      <c r="M6" s="3">
        <f>Config!B$7</f>
        <v>-40</v>
      </c>
      <c r="N6" s="3">
        <f>IF(Config!B$8&gt;0,10*LOG10($T$1*Masks[[#This Row],[f]]+Config!B$8*0.00073),-1000)</f>
        <v>-21.710180459920771</v>
      </c>
      <c r="O6" s="3">
        <f>10*LOG10((10^(Masks[[#This Row],[wire_echo]]/10))+(10^(Masks[[#This Row],[connector_echo]]/10)))</f>
        <v>-21.646265475299913</v>
      </c>
      <c r="P6" s="65"/>
      <c r="Q6" s="65"/>
      <c r="S6" t="s">
        <v>82</v>
      </c>
      <c r="T6" s="1">
        <v>1.6999999999999999E-11</v>
      </c>
    </row>
    <row r="7" spans="1:24" x14ac:dyDescent="0.25">
      <c r="A7" s="2">
        <v>-98.470325397914564</v>
      </c>
      <c r="B7" s="2">
        <v>-98.470325397914564</v>
      </c>
      <c r="D7">
        <f>Calculate[[#This Row],[Freq]]</f>
        <v>270000000</v>
      </c>
      <c r="E7" s="2">
        <f>MIN(-90, -89-Masks[[#This Row],[f]]/(600000000*S_ch_us),-82-Masks[[#This Row],[f]]/(250000000*S_ch_us))-K_ch_UPSD_us</f>
        <v>-93.979400086720375</v>
      </c>
      <c r="F7" s="2">
        <f>MIN(-90, -89-Masks[[#This Row],[f]]/(600000000*S_ch_ds),-82-Masks[[#This Row],[f]]/(250000000*S_ch_ds))-K_ch_UPSD_ds</f>
        <v>-93.979400086720375</v>
      </c>
      <c r="G7">
        <f>-MAX(MIN(20,20-10*LOG10(2*Masks[[#This Row],[f]]/480000000)),12-3)</f>
        <v>-19.488474775526186</v>
      </c>
      <c r="H7">
        <f>-MAX(MIN(20,20-10*LOG10(2*Masks[[#This Row],[f]]/480000000)),12-3)</f>
        <v>-19.488474775526186</v>
      </c>
      <c r="I7">
        <f>10*LOG10(POWER(10,Tx_power_us/10)/F_Nyquist_us)+IF(Masks[[#This Row],[f]]&gt;F_Nyquist_us,-50)</f>
        <v>-98.470325397914564</v>
      </c>
      <c r="J7" s="3">
        <f>10*LOG10(POWER(10,Tx_power_ds/10)/F_Nyquist_ds)+IF(Masks[[#This Row],[f]]&gt;F_Nyquist_ds,-50)</f>
        <v>-98.470325397914564</v>
      </c>
      <c r="K7" s="3">
        <f>IF(Masks[[#This Row],[f]]&gt;F_Nyquist_us,0,1)</f>
        <v>1</v>
      </c>
      <c r="L7" s="3">
        <f>IF(Masks[[#This Row],[f]]&gt;F_Nyquist_ds,0,1)</f>
        <v>1</v>
      </c>
      <c r="M7" s="3">
        <f>Config!B$7</f>
        <v>-40</v>
      </c>
      <c r="N7" s="3">
        <f>IF(Config!B$8&gt;0,10*LOG10($T$1*Masks[[#This Row],[f]]+Config!B$8*0.00073),-1000)</f>
        <v>-21.243600629958316</v>
      </c>
      <c r="O7" s="3">
        <f>10*LOG10((10^(Masks[[#This Row],[wire_echo]]/10))+(10^(Masks[[#This Row],[connector_echo]]/10)))</f>
        <v>-21.186153432294272</v>
      </c>
      <c r="P7" s="65"/>
      <c r="Q7" s="65"/>
      <c r="S7" t="s">
        <v>79</v>
      </c>
      <c r="T7" s="1">
        <v>9.9999999999999998E-13</v>
      </c>
    </row>
    <row r="8" spans="1:24" x14ac:dyDescent="0.25">
      <c r="A8" s="2">
        <v>-98.470325397914564</v>
      </c>
      <c r="B8" s="2">
        <v>-98.470325397914564</v>
      </c>
      <c r="D8">
        <f>Calculate[[#This Row],[Freq]]</f>
        <v>315000000</v>
      </c>
      <c r="E8" s="2">
        <f>MIN(-90, -89-Masks[[#This Row],[f]]/(600000000*S_ch_us),-82-Masks[[#This Row],[f]]/(250000000*S_ch_us))-K_ch_UPSD_us</f>
        <v>-93.979400086720375</v>
      </c>
      <c r="F8" s="2">
        <f>MIN(-90, -89-Masks[[#This Row],[f]]/(600000000*S_ch_ds),-82-Masks[[#This Row],[f]]/(250000000*S_ch_ds))-K_ch_UPSD_ds</f>
        <v>-93.979400086720375</v>
      </c>
      <c r="G8">
        <f>-MAX(MIN(20,20-10*LOG10(2*Masks[[#This Row],[f]]/480000000)),12-3)</f>
        <v>-18.819006879220055</v>
      </c>
      <c r="H8">
        <f>-MAX(MIN(20,20-10*LOG10(2*Masks[[#This Row],[f]]/480000000)),12-3)</f>
        <v>-18.819006879220055</v>
      </c>
      <c r="I8">
        <f>10*LOG10(POWER(10,Tx_power_us/10)/F_Nyquist_us)+IF(Masks[[#This Row],[f]]&gt;F_Nyquist_us,-50)</f>
        <v>-98.470325397914564</v>
      </c>
      <c r="J8" s="3">
        <f>10*LOG10(POWER(10,Tx_power_ds/10)/F_Nyquist_ds)+IF(Masks[[#This Row],[f]]&gt;F_Nyquist_ds,-50)</f>
        <v>-98.470325397914564</v>
      </c>
      <c r="K8" s="3">
        <f>IF(Masks[[#This Row],[f]]&gt;F_Nyquist_us,0,1)</f>
        <v>1</v>
      </c>
      <c r="L8" s="3">
        <f>IF(Masks[[#This Row],[f]]&gt;F_Nyquist_ds,0,1)</f>
        <v>1</v>
      </c>
      <c r="M8" s="3">
        <f>Config!B$7</f>
        <v>-40</v>
      </c>
      <c r="N8" s="3">
        <f>IF(Config!B$8&gt;0,10*LOG10($T$1*Masks[[#This Row],[f]]+Config!B$8*0.00073),-1000)</f>
        <v>-20.822319975522436</v>
      </c>
      <c r="O8" s="3">
        <f>10*LOG10((10^(Masks[[#This Row],[wire_echo]]/10))+(10^(Masks[[#This Row],[connector_echo]]/10)))</f>
        <v>-20.770151842911172</v>
      </c>
      <c r="P8" s="65"/>
      <c r="Q8" s="65"/>
      <c r="S8" t="s">
        <v>80</v>
      </c>
      <c r="T8" s="1">
        <v>1E-14</v>
      </c>
    </row>
    <row r="9" spans="1:24" x14ac:dyDescent="0.25">
      <c r="A9" s="2">
        <v>-98.470325397914564</v>
      </c>
      <c r="B9" s="2">
        <v>-98.470325397914564</v>
      </c>
      <c r="D9">
        <f>Calculate[[#This Row],[Freq]]</f>
        <v>360000000</v>
      </c>
      <c r="E9" s="2">
        <f>MIN(-90, -89-Masks[[#This Row],[f]]/(600000000*S_ch_us),-82-Masks[[#This Row],[f]]/(250000000*S_ch_us))-K_ch_UPSD_us</f>
        <v>-93.979400086720375</v>
      </c>
      <c r="F9" s="2">
        <f>MIN(-90, -89-Masks[[#This Row],[f]]/(600000000*S_ch_ds),-82-Masks[[#This Row],[f]]/(250000000*S_ch_ds))-K_ch_UPSD_ds</f>
        <v>-93.979400086720375</v>
      </c>
      <c r="G9">
        <f>-MAX(MIN(20,20-10*LOG10(2*Masks[[#This Row],[f]]/480000000)),12-3)</f>
        <v>-18.239087409443187</v>
      </c>
      <c r="H9">
        <f>-MAX(MIN(20,20-10*LOG10(2*Masks[[#This Row],[f]]/480000000)),12-3)</f>
        <v>-18.239087409443187</v>
      </c>
      <c r="I9">
        <f>10*LOG10(POWER(10,Tx_power_us/10)/F_Nyquist_us)+IF(Masks[[#This Row],[f]]&gt;F_Nyquist_us,-50)</f>
        <v>-98.470325397914564</v>
      </c>
      <c r="J9" s="3">
        <f>10*LOG10(POWER(10,Tx_power_ds/10)/F_Nyquist_ds)+IF(Masks[[#This Row],[f]]&gt;F_Nyquist_ds,-50)</f>
        <v>-98.470325397914564</v>
      </c>
      <c r="K9" s="3">
        <f>IF(Masks[[#This Row],[f]]&gt;F_Nyquist_us,0,1)</f>
        <v>1</v>
      </c>
      <c r="L9" s="3">
        <f>IF(Masks[[#This Row],[f]]&gt;F_Nyquist_ds,0,1)</f>
        <v>1</v>
      </c>
      <c r="M9" s="3">
        <f>Config!B$7</f>
        <v>-40</v>
      </c>
      <c r="N9" s="3">
        <f>IF(Config!B$8&gt;0,10*LOG10($T$1*Masks[[#This Row],[f]]+Config!B$8*0.00073),-1000)</f>
        <v>-20.438315695246366</v>
      </c>
      <c r="O9" s="3">
        <f>10*LOG10((10^(Masks[[#This Row],[wire_echo]]/10))+(10^(Masks[[#This Row],[connector_echo]]/10)))</f>
        <v>-20.390538042661689</v>
      </c>
      <c r="P9" s="65"/>
      <c r="Q9" s="65"/>
    </row>
    <row r="10" spans="1:24" x14ac:dyDescent="0.25">
      <c r="A10" s="2">
        <v>-98.470325397914564</v>
      </c>
      <c r="B10" s="2">
        <v>-98.470325397914564</v>
      </c>
      <c r="D10">
        <f>Calculate[[#This Row],[Freq]]</f>
        <v>405000000</v>
      </c>
      <c r="E10" s="2">
        <f>MIN(-90, -89-Masks[[#This Row],[f]]/(600000000*S_ch_us),-82-Masks[[#This Row],[f]]/(250000000*S_ch_us))-K_ch_UPSD_us</f>
        <v>-93.979400086720375</v>
      </c>
      <c r="F10" s="2">
        <f>MIN(-90, -89-Masks[[#This Row],[f]]/(600000000*S_ch_ds),-82-Masks[[#This Row],[f]]/(250000000*S_ch_ds))-K_ch_UPSD_ds</f>
        <v>-93.979400086720375</v>
      </c>
      <c r="G10">
        <f>-MAX(MIN(20,20-10*LOG10(2*Masks[[#This Row],[f]]/480000000)),12-3)</f>
        <v>-17.727562184969376</v>
      </c>
      <c r="H10">
        <f>-MAX(MIN(20,20-10*LOG10(2*Masks[[#This Row],[f]]/480000000)),12-3)</f>
        <v>-17.727562184969376</v>
      </c>
      <c r="I10">
        <f>10*LOG10(POWER(10,Tx_power_us/10)/F_Nyquist_us)+IF(Masks[[#This Row],[f]]&gt;F_Nyquist_us,-50)</f>
        <v>-98.470325397914564</v>
      </c>
      <c r="J10" s="3">
        <f>10*LOG10(POWER(10,Tx_power_ds/10)/F_Nyquist_ds)+IF(Masks[[#This Row],[f]]&gt;F_Nyquist_ds,-50)</f>
        <v>-98.470325397914564</v>
      </c>
      <c r="K10" s="3">
        <f>IF(Masks[[#This Row],[f]]&gt;F_Nyquist_us,0,1)</f>
        <v>1</v>
      </c>
      <c r="L10" s="3">
        <f>IF(Masks[[#This Row],[f]]&gt;F_Nyquist_ds,0,1)</f>
        <v>1</v>
      </c>
      <c r="M10" s="3">
        <f>Config!B$7</f>
        <v>-40</v>
      </c>
      <c r="N10" s="3">
        <f>IF(Config!B$8&gt;0,10*LOG10($T$1*Masks[[#This Row],[f]]+Config!B$8*0.00073),-1000)</f>
        <v>-20.085524019961973</v>
      </c>
      <c r="O10" s="3">
        <f>10*LOG10((10^(Masks[[#This Row],[wire_echo]]/10))+(10^(Masks[[#This Row],[connector_echo]]/10)))</f>
        <v>-20.04145520125434</v>
      </c>
      <c r="P10" s="65"/>
      <c r="Q10" s="65"/>
    </row>
    <row r="11" spans="1:24" x14ac:dyDescent="0.25">
      <c r="A11" s="2">
        <v>-98.470325397914564</v>
      </c>
      <c r="B11" s="2">
        <v>-98.470325397914564</v>
      </c>
      <c r="D11">
        <f>Calculate[[#This Row],[Freq]]</f>
        <v>450000000</v>
      </c>
      <c r="E11" s="2">
        <f>MIN(-90, -89-Masks[[#This Row],[f]]/(600000000*S_ch_us),-82-Masks[[#This Row],[f]]/(250000000*S_ch_us))-K_ch_UPSD_us</f>
        <v>-93.979400086720375</v>
      </c>
      <c r="F11" s="2">
        <f>MIN(-90, -89-Masks[[#This Row],[f]]/(600000000*S_ch_ds),-82-Masks[[#This Row],[f]]/(250000000*S_ch_ds))-K_ch_UPSD_ds</f>
        <v>-93.979400086720375</v>
      </c>
      <c r="G11">
        <f>-MAX(MIN(20,20-10*LOG10(2*Masks[[#This Row],[f]]/480000000)),12-3)</f>
        <v>-17.269987279362624</v>
      </c>
      <c r="H11">
        <f>-MAX(MIN(20,20-10*LOG10(2*Masks[[#This Row],[f]]/480000000)),12-3)</f>
        <v>-17.269987279362624</v>
      </c>
      <c r="I11">
        <f>10*LOG10(POWER(10,Tx_power_us/10)/F_Nyquist_us)+IF(Masks[[#This Row],[f]]&gt;F_Nyquist_us,-50)</f>
        <v>-98.470325397914564</v>
      </c>
      <c r="J11" s="3">
        <f>10*LOG10(POWER(10,Tx_power_ds/10)/F_Nyquist_ds)+IF(Masks[[#This Row],[f]]&gt;F_Nyquist_ds,-50)</f>
        <v>-98.470325397914564</v>
      </c>
      <c r="K11" s="3">
        <f>IF(Masks[[#This Row],[f]]&gt;F_Nyquist_us,0,1)</f>
        <v>1</v>
      </c>
      <c r="L11" s="3">
        <f>IF(Masks[[#This Row],[f]]&gt;F_Nyquist_ds,0,1)</f>
        <v>1</v>
      </c>
      <c r="M11" s="3">
        <f>Config!B$7</f>
        <v>-40</v>
      </c>
      <c r="N11" s="3">
        <f>IF(Config!B$8&gt;0,10*LOG10($T$1*Masks[[#This Row],[f]]+Config!B$8*0.00073),-1000)</f>
        <v>-19.759250126925739</v>
      </c>
      <c r="O11" s="3">
        <f>10*LOG10((10^(Masks[[#This Row],[wire_echo]]/10))+(10^(Masks[[#This Row],[connector_echo]]/10)))</f>
        <v>-19.718355805755305</v>
      </c>
      <c r="P11" s="65"/>
      <c r="Q11" s="65"/>
    </row>
    <row r="12" spans="1:24" x14ac:dyDescent="0.25">
      <c r="A12" s="2">
        <v>-98.470325397914564</v>
      </c>
      <c r="B12" s="2">
        <v>-98.470325397914564</v>
      </c>
      <c r="D12">
        <f>Calculate[[#This Row],[Freq]]</f>
        <v>495000000</v>
      </c>
      <c r="E12" s="2">
        <f>MIN(-90, -89-Masks[[#This Row],[f]]/(600000000*S_ch_us),-82-Masks[[#This Row],[f]]/(250000000*S_ch_us))-K_ch_UPSD_us</f>
        <v>-93.979400086720375</v>
      </c>
      <c r="F12" s="2">
        <f>MIN(-90, -89-Masks[[#This Row],[f]]/(600000000*S_ch_ds),-82-Masks[[#This Row],[f]]/(250000000*S_ch_ds))-K_ch_UPSD_ds</f>
        <v>-93.979400086720375</v>
      </c>
      <c r="G12">
        <f>-MAX(MIN(20,20-10*LOG10(2*Masks[[#This Row],[f]]/480000000)),12-3)</f>
        <v>-16.856060427780374</v>
      </c>
      <c r="H12">
        <f>-MAX(MIN(20,20-10*LOG10(2*Masks[[#This Row],[f]]/480000000)),12-3)</f>
        <v>-16.856060427780374</v>
      </c>
      <c r="I12">
        <f>10*LOG10(POWER(10,Tx_power_us/10)/F_Nyquist_us)+IF(Masks[[#This Row],[f]]&gt;F_Nyquist_us,-50)</f>
        <v>-98.470325397914564</v>
      </c>
      <c r="J12" s="3">
        <f>10*LOG10(POWER(10,Tx_power_ds/10)/F_Nyquist_ds)+IF(Masks[[#This Row],[f]]&gt;F_Nyquist_ds,-50)</f>
        <v>-98.470325397914564</v>
      </c>
      <c r="K12" s="3">
        <f>IF(Masks[[#This Row],[f]]&gt;F_Nyquist_us,0,1)</f>
        <v>1</v>
      </c>
      <c r="L12" s="3">
        <f>IF(Masks[[#This Row],[f]]&gt;F_Nyquist_ds,0,1)</f>
        <v>1</v>
      </c>
      <c r="M12" s="3">
        <f>Config!B$7</f>
        <v>-40</v>
      </c>
      <c r="N12" s="3">
        <f>IF(Config!B$8&gt;0,10*LOG10($T$1*Masks[[#This Row],[f]]+Config!B$8*0.00073),-1000)</f>
        <v>-19.455784755374637</v>
      </c>
      <c r="O12" s="3">
        <f>10*LOG10((10^(Masks[[#This Row],[wire_echo]]/10))+(10^(Masks[[#This Row],[connector_echo]]/10)))</f>
        <v>-19.417638310572329</v>
      </c>
      <c r="P12" s="65"/>
      <c r="Q12" s="65"/>
    </row>
    <row r="13" spans="1:24" x14ac:dyDescent="0.25">
      <c r="A13" s="2">
        <v>-98.470325397914564</v>
      </c>
      <c r="B13" s="2">
        <v>-98.470325397914564</v>
      </c>
      <c r="D13">
        <f>Calculate[[#This Row],[Freq]]</f>
        <v>540000000</v>
      </c>
      <c r="E13" s="2">
        <f>MIN(-90, -89-Masks[[#This Row],[f]]/(600000000*S_ch_us),-82-Masks[[#This Row],[f]]/(250000000*S_ch_us))-K_ch_UPSD_us</f>
        <v>-93.979400086720375</v>
      </c>
      <c r="F13" s="2">
        <f>MIN(-90, -89-Masks[[#This Row],[f]]/(600000000*S_ch_ds),-82-Masks[[#This Row],[f]]/(250000000*S_ch_ds))-K_ch_UPSD_ds</f>
        <v>-93.979400086720375</v>
      </c>
      <c r="G13">
        <f>-MAX(MIN(20,20-10*LOG10(2*Masks[[#This Row],[f]]/480000000)),12-3)</f>
        <v>-16.478174818886377</v>
      </c>
      <c r="H13">
        <f>-MAX(MIN(20,20-10*LOG10(2*Masks[[#This Row],[f]]/480000000)),12-3)</f>
        <v>-16.478174818886377</v>
      </c>
      <c r="I13">
        <f>10*LOG10(POWER(10,Tx_power_us/10)/F_Nyquist_us)+IF(Masks[[#This Row],[f]]&gt;F_Nyquist_us,-50)</f>
        <v>-98.470325397914564</v>
      </c>
      <c r="J13" s="3">
        <f>10*LOG10(POWER(10,Tx_power_ds/10)/F_Nyquist_ds)+IF(Masks[[#This Row],[f]]&gt;F_Nyquist_ds,-50)</f>
        <v>-98.470325397914564</v>
      </c>
      <c r="K13" s="3">
        <f>IF(Masks[[#This Row],[f]]&gt;F_Nyquist_us,0,1)</f>
        <v>1</v>
      </c>
      <c r="L13" s="3">
        <f>IF(Masks[[#This Row],[f]]&gt;F_Nyquist_ds,0,1)</f>
        <v>1</v>
      </c>
      <c r="M13" s="3">
        <f>Config!B$7</f>
        <v>-40</v>
      </c>
      <c r="N13" s="3">
        <f>IF(Config!B$8&gt;0,10*LOG10($T$1*Masks[[#This Row],[f]]+Config!B$8*0.00073),-1000)</f>
        <v>-19.1721462968355</v>
      </c>
      <c r="O13" s="3">
        <f>10*LOG10((10^(Masks[[#This Row],[wire_echo]]/10))+(10^(Masks[[#This Row],[connector_echo]]/10)))</f>
        <v>-19.13640169325252</v>
      </c>
      <c r="P13" s="65"/>
      <c r="Q13" s="65"/>
    </row>
    <row r="14" spans="1:24" x14ac:dyDescent="0.25">
      <c r="A14" s="2">
        <v>-98.470325397914564</v>
      </c>
      <c r="B14" s="2">
        <v>-98.470325397914564</v>
      </c>
      <c r="D14">
        <f>Calculate[[#This Row],[Freq]]</f>
        <v>585000000</v>
      </c>
      <c r="E14" s="2">
        <f>MIN(-90, -89-Masks[[#This Row],[f]]/(600000000*S_ch_us),-82-Masks[[#This Row],[f]]/(250000000*S_ch_us))-K_ch_UPSD_us</f>
        <v>-93.979400086720375</v>
      </c>
      <c r="F14" s="2">
        <f>MIN(-90, -89-Masks[[#This Row],[f]]/(600000000*S_ch_ds),-82-Masks[[#This Row],[f]]/(250000000*S_ch_ds))-K_ch_UPSD_ds</f>
        <v>-93.979400086720375</v>
      </c>
      <c r="G14">
        <f>-MAX(MIN(20,20-10*LOG10(2*Masks[[#This Row],[f]]/480000000)),12-3)</f>
        <v>-16.130553756294255</v>
      </c>
      <c r="H14">
        <f>-MAX(MIN(20,20-10*LOG10(2*Masks[[#This Row],[f]]/480000000)),12-3)</f>
        <v>-16.130553756294255</v>
      </c>
      <c r="I14">
        <f>10*LOG10(POWER(10,Tx_power_us/10)/F_Nyquist_us)+IF(Masks[[#This Row],[f]]&gt;F_Nyquist_us,-50)</f>
        <v>-98.470325397914564</v>
      </c>
      <c r="J14" s="3">
        <f>10*LOG10(POWER(10,Tx_power_ds/10)/F_Nyquist_ds)+IF(Masks[[#This Row],[f]]&gt;F_Nyquist_ds,-50)</f>
        <v>-98.470325397914564</v>
      </c>
      <c r="K14" s="3">
        <f>IF(Masks[[#This Row],[f]]&gt;F_Nyquist_us,0,1)</f>
        <v>1</v>
      </c>
      <c r="L14" s="3">
        <f>IF(Masks[[#This Row],[f]]&gt;F_Nyquist_ds,0,1)</f>
        <v>1</v>
      </c>
      <c r="M14" s="3">
        <f>Config!B$7</f>
        <v>-40</v>
      </c>
      <c r="N14" s="3">
        <f>IF(Config!B$8&gt;0,10*LOG10($T$1*Masks[[#This Row],[f]]+Config!B$8*0.00073),-1000)</f>
        <v>-18.905902094536348</v>
      </c>
      <c r="O14" s="3">
        <f>10*LOG10((10^(Masks[[#This Row],[wire_echo]]/10))+(10^(Masks[[#This Row],[connector_echo]]/10)))</f>
        <v>-18.872274788946303</v>
      </c>
      <c r="P14" s="65"/>
      <c r="Q14" s="65"/>
    </row>
    <row r="15" spans="1:24" x14ac:dyDescent="0.25">
      <c r="A15" s="2">
        <v>-98.470325397914564</v>
      </c>
      <c r="B15" s="2">
        <v>-98.470325397914564</v>
      </c>
      <c r="D15">
        <f>Calculate[[#This Row],[Freq]]</f>
        <v>630000000</v>
      </c>
      <c r="E15" s="2">
        <f>MIN(-90, -89-Masks[[#This Row],[f]]/(600000000*S_ch_us),-82-Masks[[#This Row],[f]]/(250000000*S_ch_us))-K_ch_UPSD_us</f>
        <v>-93.979400086720375</v>
      </c>
      <c r="F15" s="2">
        <f>MIN(-90, -89-Masks[[#This Row],[f]]/(600000000*S_ch_ds),-82-Masks[[#This Row],[f]]/(250000000*S_ch_ds))-K_ch_UPSD_ds</f>
        <v>-93.979400086720375</v>
      </c>
      <c r="G15">
        <f>-MAX(MIN(20,20-10*LOG10(2*Masks[[#This Row],[f]]/480000000)),12-3)</f>
        <v>-15.808706922580242</v>
      </c>
      <c r="H15">
        <f>-MAX(MIN(20,20-10*LOG10(2*Masks[[#This Row],[f]]/480000000)),12-3)</f>
        <v>-15.808706922580242</v>
      </c>
      <c r="I15">
        <f>10*LOG10(POWER(10,Tx_power_us/10)/F_Nyquist_us)+IF(Masks[[#This Row],[f]]&gt;F_Nyquist_us,-50)</f>
        <v>-98.470325397914564</v>
      </c>
      <c r="J15" s="3">
        <f>10*LOG10(POWER(10,Tx_power_ds/10)/F_Nyquist_ds)+IF(Masks[[#This Row],[f]]&gt;F_Nyquist_ds,-50)</f>
        <v>-98.470325397914564</v>
      </c>
      <c r="K15" s="3">
        <f>IF(Masks[[#This Row],[f]]&gt;F_Nyquist_us,0,1)</f>
        <v>1</v>
      </c>
      <c r="L15" s="3">
        <f>IF(Masks[[#This Row],[f]]&gt;F_Nyquist_ds,0,1)</f>
        <v>1</v>
      </c>
      <c r="M15" s="3">
        <f>Config!B$7</f>
        <v>-40</v>
      </c>
      <c r="N15" s="3">
        <f>IF(Config!B$8&gt;0,10*LOG10($T$1*Masks[[#This Row],[f]]+Config!B$8*0.00073),-1000)</f>
        <v>-18.655041441653264</v>
      </c>
      <c r="O15" s="3">
        <f>10*LOG10((10^(Masks[[#This Row],[wire_echo]]/10))+(10^(Masks[[#This Row],[connector_echo]]/10)))</f>
        <v>-18.62329462763245</v>
      </c>
      <c r="P15" s="65"/>
      <c r="Q15" s="65"/>
    </row>
    <row r="16" spans="1:24" x14ac:dyDescent="0.25">
      <c r="A16" s="2">
        <v>-98.470325397914564</v>
      </c>
      <c r="B16" s="2">
        <v>-98.470325397914564</v>
      </c>
      <c r="D16">
        <f>Calculate[[#This Row],[Freq]]</f>
        <v>675000000</v>
      </c>
      <c r="E16" s="2">
        <f>MIN(-90, -89-Masks[[#This Row],[f]]/(600000000*S_ch_us),-82-Masks[[#This Row],[f]]/(250000000*S_ch_us))-K_ch_UPSD_us</f>
        <v>-93.979400086720375</v>
      </c>
      <c r="F16" s="2">
        <f>MIN(-90, -89-Masks[[#This Row],[f]]/(600000000*S_ch_ds),-82-Masks[[#This Row],[f]]/(250000000*S_ch_ds))-K_ch_UPSD_ds</f>
        <v>-93.979400086720375</v>
      </c>
      <c r="G16">
        <f>-MAX(MIN(20,20-10*LOG10(2*Masks[[#This Row],[f]]/480000000)),12-3)</f>
        <v>-15.509074688805811</v>
      </c>
      <c r="H16">
        <f>-MAX(MIN(20,20-10*LOG10(2*Masks[[#This Row],[f]]/480000000)),12-3)</f>
        <v>-15.509074688805811</v>
      </c>
      <c r="I16">
        <f>10*LOG10(POWER(10,Tx_power_us/10)/F_Nyquist_us)+IF(Masks[[#This Row],[f]]&gt;F_Nyquist_us,-50)</f>
        <v>-98.470325397914564</v>
      </c>
      <c r="J16" s="3">
        <f>10*LOG10(POWER(10,Tx_power_ds/10)/F_Nyquist_ds)+IF(Masks[[#This Row],[f]]&gt;F_Nyquist_ds,-50)</f>
        <v>-98.470325397914564</v>
      </c>
      <c r="K16" s="3">
        <f>IF(Masks[[#This Row],[f]]&gt;F_Nyquist_us,0,1)</f>
        <v>1</v>
      </c>
      <c r="L16" s="3">
        <f>IF(Masks[[#This Row],[f]]&gt;F_Nyquist_ds,0,1)</f>
        <v>1</v>
      </c>
      <c r="M16" s="3">
        <f>Config!B$7</f>
        <v>-40</v>
      </c>
      <c r="N16" s="3">
        <f>IF(Config!B$8&gt;0,10*LOG10($T$1*Masks[[#This Row],[f]]+Config!B$8*0.00073),-1000)</f>
        <v>-18.417883307858993</v>
      </c>
      <c r="O16" s="3">
        <f>10*LOG10((10^(Masks[[#This Row],[wire_echo]]/10))+(10^(Masks[[#This Row],[connector_echo]]/10)))</f>
        <v>-18.387817803089842</v>
      </c>
      <c r="P16" s="65"/>
      <c r="Q16" s="65"/>
    </row>
    <row r="17" spans="1:17" x14ac:dyDescent="0.25">
      <c r="A17" s="2">
        <v>-98.470325397914564</v>
      </c>
      <c r="B17" s="2">
        <v>-98.470325397914564</v>
      </c>
      <c r="D17">
        <f>Calculate[[#This Row],[Freq]]</f>
        <v>720000000</v>
      </c>
      <c r="E17" s="2">
        <f>MIN(-90, -89-Masks[[#This Row],[f]]/(600000000*S_ch_us),-82-Masks[[#This Row],[f]]/(250000000*S_ch_us))-K_ch_UPSD_us</f>
        <v>-93.979400086720375</v>
      </c>
      <c r="F17" s="2">
        <f>MIN(-90, -89-Masks[[#This Row],[f]]/(600000000*S_ch_ds),-82-Masks[[#This Row],[f]]/(250000000*S_ch_ds))-K_ch_UPSD_ds</f>
        <v>-93.979400086720375</v>
      </c>
      <c r="G17">
        <f>-MAX(MIN(20,20-10*LOG10(2*Masks[[#This Row],[f]]/480000000)),12-3)</f>
        <v>-15.228787452803376</v>
      </c>
      <c r="H17">
        <f>-MAX(MIN(20,20-10*LOG10(2*Masks[[#This Row],[f]]/480000000)),12-3)</f>
        <v>-15.228787452803376</v>
      </c>
      <c r="I17">
        <f>10*LOG10(POWER(10,Tx_power_us/10)/F_Nyquist_us)+IF(Masks[[#This Row],[f]]&gt;F_Nyquist_us,-50)</f>
        <v>-98.470325397914564</v>
      </c>
      <c r="J17" s="3">
        <f>10*LOG10(POWER(10,Tx_power_ds/10)/F_Nyquist_ds)+IF(Masks[[#This Row],[f]]&gt;F_Nyquist_ds,-50)</f>
        <v>-98.470325397914564</v>
      </c>
      <c r="K17" s="3">
        <f>IF(Masks[[#This Row],[f]]&gt;F_Nyquist_us,0,1)</f>
        <v>1</v>
      </c>
      <c r="L17" s="3">
        <f>IF(Masks[[#This Row],[f]]&gt;F_Nyquist_ds,0,1)</f>
        <v>1</v>
      </c>
      <c r="M17" s="3">
        <f>Config!B$7</f>
        <v>-40</v>
      </c>
      <c r="N17" s="3">
        <f>IF(Config!B$8&gt;0,10*LOG10($T$1*Masks[[#This Row],[f]]+Config!B$8*0.00073),-1000)</f>
        <v>-18.193007987039653</v>
      </c>
      <c r="O17" s="3">
        <f>10*LOG10((10^(Masks[[#This Row],[wire_echo]]/10))+(10^(Masks[[#This Row],[connector_echo]]/10)))</f>
        <v>-18.164454663811387</v>
      </c>
      <c r="P17" s="65"/>
      <c r="Q17" s="65"/>
    </row>
    <row r="18" spans="1:17" x14ac:dyDescent="0.25">
      <c r="A18" s="2">
        <v>-98.470325397914564</v>
      </c>
      <c r="B18" s="2">
        <v>-98.470325397914564</v>
      </c>
      <c r="D18">
        <f>Calculate[[#This Row],[Freq]]</f>
        <v>765000000</v>
      </c>
      <c r="E18" s="2">
        <f>MIN(-90, -89-Masks[[#This Row],[f]]/(600000000*S_ch_us),-82-Masks[[#This Row],[f]]/(250000000*S_ch_us))-K_ch_UPSD_us</f>
        <v>-93.979400086720375</v>
      </c>
      <c r="F18" s="2">
        <f>MIN(-90, -89-Masks[[#This Row],[f]]/(600000000*S_ch_ds),-82-Masks[[#This Row],[f]]/(250000000*S_ch_ds))-K_ch_UPSD_ds</f>
        <v>-93.979400086720375</v>
      </c>
      <c r="G18">
        <f>-MAX(MIN(20,20-10*LOG10(2*Masks[[#This Row],[f]]/480000000)),12-3)</f>
        <v>-14.965498065579883</v>
      </c>
      <c r="H18">
        <f>-MAX(MIN(20,20-10*LOG10(2*Masks[[#This Row],[f]]/480000000)),12-3)</f>
        <v>-14.965498065579883</v>
      </c>
      <c r="I18">
        <f>10*LOG10(POWER(10,Tx_power_us/10)/F_Nyquist_us)+IF(Masks[[#This Row],[f]]&gt;F_Nyquist_us,-50)</f>
        <v>-98.470325397914564</v>
      </c>
      <c r="J18" s="3">
        <f>10*LOG10(POWER(10,Tx_power_ds/10)/F_Nyquist_ds)+IF(Masks[[#This Row],[f]]&gt;F_Nyquist_ds,-50)</f>
        <v>-98.470325397914564</v>
      </c>
      <c r="K18" s="3">
        <f>IF(Masks[[#This Row],[f]]&gt;F_Nyquist_us,0,1)</f>
        <v>1</v>
      </c>
      <c r="L18" s="3">
        <f>IF(Masks[[#This Row],[f]]&gt;F_Nyquist_ds,0,1)</f>
        <v>1</v>
      </c>
      <c r="M18" s="3">
        <f>Config!B$7</f>
        <v>-40</v>
      </c>
      <c r="N18" s="3">
        <f>IF(Config!B$8&gt;0,10*LOG10($T$1*Masks[[#This Row],[f]]+Config!B$8*0.00073),-1000)</f>
        <v>-17.979205589926121</v>
      </c>
      <c r="O18" s="3">
        <f>10*LOG10((10^(Masks[[#This Row],[wire_echo]]/10))+(10^(Masks[[#This Row],[connector_echo]]/10)))</f>
        <v>-17.952019618091455</v>
      </c>
      <c r="P18" s="65"/>
      <c r="Q18" s="65"/>
    </row>
    <row r="19" spans="1:17" x14ac:dyDescent="0.25">
      <c r="A19" s="2">
        <v>-98.470325397914564</v>
      </c>
      <c r="B19" s="2">
        <v>-98.470325397914564</v>
      </c>
      <c r="D19">
        <f>Calculate[[#This Row],[Freq]]</f>
        <v>810000000</v>
      </c>
      <c r="E19" s="2">
        <f>MIN(-90, -89-Masks[[#This Row],[f]]/(600000000*S_ch_us),-82-Masks[[#This Row],[f]]/(250000000*S_ch_us))-K_ch_UPSD_us</f>
        <v>-93.979400086720375</v>
      </c>
      <c r="F19" s="2">
        <f>MIN(-90, -89-Masks[[#This Row],[f]]/(600000000*S_ch_ds),-82-Masks[[#This Row],[f]]/(250000000*S_ch_ds))-K_ch_UPSD_ds</f>
        <v>-93.979400086720375</v>
      </c>
      <c r="G19">
        <f>-MAX(MIN(20,20-10*LOG10(2*Masks[[#This Row],[f]]/480000000)),12-3)</f>
        <v>-14.717262228329563</v>
      </c>
      <c r="H19">
        <f>-MAX(MIN(20,20-10*LOG10(2*Masks[[#This Row],[f]]/480000000)),12-3)</f>
        <v>-14.717262228329563</v>
      </c>
      <c r="I19">
        <f>10*LOG10(POWER(10,Tx_power_us/10)/F_Nyquist_us)+IF(Masks[[#This Row],[f]]&gt;F_Nyquist_us,-50)</f>
        <v>-98.470325397914564</v>
      </c>
      <c r="J19" s="3">
        <f>10*LOG10(POWER(10,Tx_power_ds/10)/F_Nyquist_ds)+IF(Masks[[#This Row],[f]]&gt;F_Nyquist_ds,-50)</f>
        <v>-98.470325397914564</v>
      </c>
      <c r="K19" s="3">
        <f>IF(Masks[[#This Row],[f]]&gt;F_Nyquist_us,0,1)</f>
        <v>1</v>
      </c>
      <c r="L19" s="3">
        <f>IF(Masks[[#This Row],[f]]&gt;F_Nyquist_ds,0,1)</f>
        <v>1</v>
      </c>
      <c r="M19" s="3">
        <f>Config!B$7</f>
        <v>-40</v>
      </c>
      <c r="N19" s="3">
        <f>IF(Config!B$8&gt;0,10*LOG10($T$1*Masks[[#This Row],[f]]+Config!B$8*0.00073),-1000)</f>
        <v>-17.775436633207534</v>
      </c>
      <c r="O19" s="3">
        <f>10*LOG10((10^(Masks[[#This Row],[wire_echo]]/10))+(10^(Masks[[#This Row],[connector_echo]]/10)))</f>
        <v>-17.749493038619516</v>
      </c>
      <c r="P19" s="65"/>
      <c r="Q19" s="65"/>
    </row>
    <row r="20" spans="1:17" x14ac:dyDescent="0.25">
      <c r="A20" s="2">
        <v>-98.470325397914564</v>
      </c>
      <c r="B20" s="2">
        <v>-98.470325397914564</v>
      </c>
      <c r="D20">
        <f>Calculate[[#This Row],[Freq]]</f>
        <v>855000000</v>
      </c>
      <c r="E20" s="2">
        <f>MIN(-90, -89-Masks[[#This Row],[f]]/(600000000*S_ch_us),-82-Masks[[#This Row],[f]]/(250000000*S_ch_us))-K_ch_UPSD_us</f>
        <v>-93.979400086720375</v>
      </c>
      <c r="F20" s="2">
        <f>MIN(-90, -89-Masks[[#This Row],[f]]/(600000000*S_ch_ds),-82-Masks[[#This Row],[f]]/(250000000*S_ch_ds))-K_ch_UPSD_ds</f>
        <v>-93.979400086720375</v>
      </c>
      <c r="G20">
        <f>-MAX(MIN(20,20-10*LOG10(2*Masks[[#This Row],[f]]/480000000)),12-3)</f>
        <v>-14.482451269834334</v>
      </c>
      <c r="H20">
        <f>-MAX(MIN(20,20-10*LOG10(2*Masks[[#This Row],[f]]/480000000)),12-3)</f>
        <v>-14.482451269834334</v>
      </c>
      <c r="I20">
        <f>10*LOG10(POWER(10,Tx_power_us/10)/F_Nyquist_us)+IF(Masks[[#This Row],[f]]&gt;F_Nyquist_us,-50)</f>
        <v>-98.470325397914564</v>
      </c>
      <c r="J20" s="3">
        <f>10*LOG10(POWER(10,Tx_power_ds/10)/F_Nyquist_ds)+IF(Masks[[#This Row],[f]]&gt;F_Nyquist_ds,-50)</f>
        <v>-98.470325397914564</v>
      </c>
      <c r="K20" s="3">
        <f>IF(Masks[[#This Row],[f]]&gt;F_Nyquist_us,0,1)</f>
        <v>1</v>
      </c>
      <c r="L20" s="3">
        <f>IF(Masks[[#This Row],[f]]&gt;F_Nyquist_ds,0,1)</f>
        <v>1</v>
      </c>
      <c r="M20" s="3">
        <f>Config!B$7</f>
        <v>-40</v>
      </c>
      <c r="N20" s="3">
        <f>IF(Config!B$8&gt;0,10*LOG10($T$1*Masks[[#This Row],[f]]+Config!B$8*0.00073),-1000)</f>
        <v>-17.580801468498024</v>
      </c>
      <c r="O20" s="3">
        <f>10*LOG10((10^(Masks[[#This Row],[wire_echo]]/10))+(10^(Masks[[#This Row],[connector_echo]]/10)))</f>
        <v>-17.555991661986305</v>
      </c>
      <c r="P20" s="65"/>
      <c r="Q20" s="65"/>
    </row>
    <row r="21" spans="1:17" x14ac:dyDescent="0.25">
      <c r="A21" s="2">
        <v>-98.470325397914564</v>
      </c>
      <c r="B21" s="2">
        <v>-98.470325397914564</v>
      </c>
      <c r="D21">
        <f>Calculate[[#This Row],[Freq]]</f>
        <v>900000000</v>
      </c>
      <c r="E21" s="2">
        <f>MIN(-90, -89-Masks[[#This Row],[f]]/(600000000*S_ch_us),-82-Masks[[#This Row],[f]]/(250000000*S_ch_us))-K_ch_UPSD_us</f>
        <v>-93.979400086720375</v>
      </c>
      <c r="F21" s="2">
        <f>MIN(-90, -89-Masks[[#This Row],[f]]/(600000000*S_ch_ds),-82-Masks[[#This Row],[f]]/(250000000*S_ch_ds))-K_ch_UPSD_ds</f>
        <v>-93.979400086720375</v>
      </c>
      <c r="G21">
        <f>-MAX(MIN(20,20-10*LOG10(2*Masks[[#This Row],[f]]/480000000)),12-3)</f>
        <v>-14.259687322722812</v>
      </c>
      <c r="H21">
        <f>-MAX(MIN(20,20-10*LOG10(2*Masks[[#This Row],[f]]/480000000)),12-3)</f>
        <v>-14.259687322722812</v>
      </c>
      <c r="I21">
        <f>10*LOG10(POWER(10,Tx_power_us/10)/F_Nyquist_us)+IF(Masks[[#This Row],[f]]&gt;F_Nyquist_us,-50)</f>
        <v>-98.470325397914564</v>
      </c>
      <c r="J21" s="3">
        <f>10*LOG10(POWER(10,Tx_power_ds/10)/F_Nyquist_ds)+IF(Masks[[#This Row],[f]]&gt;F_Nyquist_ds,-50)</f>
        <v>-98.470325397914564</v>
      </c>
      <c r="K21" s="3">
        <f>IF(Masks[[#This Row],[f]]&gt;F_Nyquist_us,0,1)</f>
        <v>1</v>
      </c>
      <c r="L21" s="3">
        <f>IF(Masks[[#This Row],[f]]&gt;F_Nyquist_ds,0,1)</f>
        <v>1</v>
      </c>
      <c r="M21" s="3">
        <f>Config!B$7</f>
        <v>-40</v>
      </c>
      <c r="N21" s="3">
        <f>IF(Config!B$8&gt;0,10*LOG10($T$1*Masks[[#This Row],[f]]+Config!B$8*0.00073),-1000)</f>
        <v>-17.394516273630206</v>
      </c>
      <c r="O21" s="3">
        <f>10*LOG10((10^(Masks[[#This Row],[wire_echo]]/10))+(10^(Masks[[#This Row],[connector_echo]]/10)))</f>
        <v>-17.370745306681684</v>
      </c>
      <c r="P21" s="65"/>
      <c r="Q21" s="65"/>
    </row>
    <row r="22" spans="1:17" x14ac:dyDescent="0.25">
      <c r="A22" s="2">
        <v>-98.470325397914564</v>
      </c>
      <c r="B22" s="2">
        <v>-98.470325397914564</v>
      </c>
      <c r="D22">
        <f>Calculate[[#This Row],[Freq]]</f>
        <v>945000000</v>
      </c>
      <c r="E22" s="2">
        <f>MIN(-90, -89-Masks[[#This Row],[f]]/(600000000*S_ch_us),-82-Masks[[#This Row],[f]]/(250000000*S_ch_us))-K_ch_UPSD_us</f>
        <v>-93.979400086720375</v>
      </c>
      <c r="F22" s="2">
        <f>MIN(-90, -89-Masks[[#This Row],[f]]/(600000000*S_ch_ds),-82-Masks[[#This Row],[f]]/(250000000*S_ch_ds))-K_ch_UPSD_ds</f>
        <v>-93.979400086720375</v>
      </c>
      <c r="G22">
        <f>-MAX(MIN(20,20-10*LOG10(2*Masks[[#This Row],[f]]/480000000)),12-3)</f>
        <v>-14.047794332023431</v>
      </c>
      <c r="H22">
        <f>-MAX(MIN(20,20-10*LOG10(2*Masks[[#This Row],[f]]/480000000)),12-3)</f>
        <v>-14.047794332023431</v>
      </c>
      <c r="I22">
        <f>10*LOG10(POWER(10,Tx_power_us/10)/F_Nyquist_us)+IF(Masks[[#This Row],[f]]&gt;F_Nyquist_us,-50)</f>
        <v>-98.470325397914564</v>
      </c>
      <c r="J22" s="3">
        <f>10*LOG10(POWER(10,Tx_power_ds/10)/F_Nyquist_ds)+IF(Masks[[#This Row],[f]]&gt;F_Nyquist_ds,-50)</f>
        <v>-98.470325397914564</v>
      </c>
      <c r="K22" s="3">
        <f>IF(Masks[[#This Row],[f]]&gt;F_Nyquist_us,0,1)</f>
        <v>1</v>
      </c>
      <c r="L22" s="3">
        <f>IF(Masks[[#This Row],[f]]&gt;F_Nyquist_ds,0,1)</f>
        <v>1</v>
      </c>
      <c r="M22" s="3">
        <f>Config!B$7</f>
        <v>-40</v>
      </c>
      <c r="N22" s="3">
        <f>IF(Config!B$8&gt;0,10*LOG10($T$1*Masks[[#This Row],[f]]+Config!B$8*0.00073),-1000)</f>
        <v>-17.215893985241841</v>
      </c>
      <c r="O22" s="3">
        <f>10*LOG10((10^(Masks[[#This Row],[wire_echo]]/10))+(10^(Masks[[#This Row],[connector_echo]]/10)))</f>
        <v>-17.193078357148828</v>
      </c>
      <c r="P22" s="65"/>
      <c r="Q22" s="65"/>
    </row>
    <row r="23" spans="1:17" x14ac:dyDescent="0.25">
      <c r="A23" s="2">
        <v>-98.470325397914564</v>
      </c>
      <c r="B23" s="2">
        <v>-98.470325397914564</v>
      </c>
      <c r="D23">
        <f>Calculate[[#This Row],[Freq]]</f>
        <v>990000000</v>
      </c>
      <c r="E23" s="2">
        <f>MIN(-90, -89-Masks[[#This Row],[f]]/(600000000*S_ch_us),-82-Masks[[#This Row],[f]]/(250000000*S_ch_us))-K_ch_UPSD_us</f>
        <v>-93.979400086720375</v>
      </c>
      <c r="F23" s="2">
        <f>MIN(-90, -89-Masks[[#This Row],[f]]/(600000000*S_ch_ds),-82-Masks[[#This Row],[f]]/(250000000*S_ch_ds))-K_ch_UPSD_ds</f>
        <v>-93.979400086720375</v>
      </c>
      <c r="G23">
        <f>-MAX(MIN(20,20-10*LOG10(2*Masks[[#This Row],[f]]/480000000)),12-3)</f>
        <v>-13.845760471140562</v>
      </c>
      <c r="H23">
        <f>-MAX(MIN(20,20-10*LOG10(2*Masks[[#This Row],[f]]/480000000)),12-3)</f>
        <v>-13.845760471140562</v>
      </c>
      <c r="I23">
        <f>10*LOG10(POWER(10,Tx_power_us/10)/F_Nyquist_us)+IF(Masks[[#This Row],[f]]&gt;F_Nyquist_us,-50)</f>
        <v>-98.470325397914564</v>
      </c>
      <c r="J23" s="3">
        <f>10*LOG10(POWER(10,Tx_power_ds/10)/F_Nyquist_ds)+IF(Masks[[#This Row],[f]]&gt;F_Nyquist_ds,-50)</f>
        <v>-98.470325397914564</v>
      </c>
      <c r="K23" s="3">
        <f>IF(Masks[[#This Row],[f]]&gt;F_Nyquist_us,0,1)</f>
        <v>1</v>
      </c>
      <c r="L23" s="3">
        <f>IF(Masks[[#This Row],[f]]&gt;F_Nyquist_ds,0,1)</f>
        <v>1</v>
      </c>
      <c r="M23" s="3">
        <f>Config!B$7</f>
        <v>-40</v>
      </c>
      <c r="N23" s="3">
        <f>IF(Config!B$8&gt;0,10*LOG10($T$1*Masks[[#This Row],[f]]+Config!B$8*0.00073),-1000)</f>
        <v>-17.04432900037521</v>
      </c>
      <c r="O23" s="3">
        <f>10*LOG10((10^(Masks[[#This Row],[wire_echo]]/10))+(10^(Masks[[#This Row],[connector_echo]]/10)))</f>
        <v>-17.022394889008666</v>
      </c>
      <c r="P23" s="65"/>
      <c r="Q23" s="65"/>
    </row>
    <row r="24" spans="1:17" x14ac:dyDescent="0.25">
      <c r="A24" s="2">
        <v>-98.470325397914564</v>
      </c>
      <c r="B24" s="2">
        <v>-98.470325397914564</v>
      </c>
      <c r="D24">
        <f>Calculate[[#This Row],[Freq]]</f>
        <v>1035000000</v>
      </c>
      <c r="E24" s="2">
        <f>MIN(-90, -89-Masks[[#This Row],[f]]/(600000000*S_ch_us),-82-Masks[[#This Row],[f]]/(250000000*S_ch_us))-K_ch_UPSD_us</f>
        <v>-93.979400086720375</v>
      </c>
      <c r="F24" s="2">
        <f>MIN(-90, -89-Masks[[#This Row],[f]]/(600000000*S_ch_ds),-82-Masks[[#This Row],[f]]/(250000000*S_ch_ds))-K_ch_UPSD_ds</f>
        <v>-93.979400086720375</v>
      </c>
      <c r="G24">
        <f>-MAX(MIN(20,20-10*LOG10(2*Masks[[#This Row],[f]]/480000000)),12-3)</f>
        <v>-13.652708919186693</v>
      </c>
      <c r="H24">
        <f>-MAX(MIN(20,20-10*LOG10(2*Masks[[#This Row],[f]]/480000000)),12-3)</f>
        <v>-13.652708919186693</v>
      </c>
      <c r="I24">
        <f>10*LOG10(POWER(10,Tx_power_us/10)/F_Nyquist_us)+IF(Masks[[#This Row],[f]]&gt;F_Nyquist_us,-50)</f>
        <v>-98.470325397914564</v>
      </c>
      <c r="J24" s="3">
        <f>10*LOG10(POWER(10,Tx_power_ds/10)/F_Nyquist_ds)+IF(Masks[[#This Row],[f]]&gt;F_Nyquist_ds,-50)</f>
        <v>-98.470325397914564</v>
      </c>
      <c r="K24" s="3">
        <f>IF(Masks[[#This Row],[f]]&gt;F_Nyquist_us,0,1)</f>
        <v>1</v>
      </c>
      <c r="L24" s="3">
        <f>IF(Masks[[#This Row],[f]]&gt;F_Nyquist_ds,0,1)</f>
        <v>1</v>
      </c>
      <c r="M24" s="3">
        <f>Config!B$7</f>
        <v>-40</v>
      </c>
      <c r="N24" s="3">
        <f>IF(Config!B$8&gt;0,10*LOG10($T$1*Masks[[#This Row],[f]]+Config!B$8*0.00073),-1000)</f>
        <v>-16.879284786970686</v>
      </c>
      <c r="O24" s="3">
        <f>10*LOG10((10^(Masks[[#This Row],[wire_echo]]/10))+(10^(Masks[[#This Row],[connector_echo]]/10)))</f>
        <v>-16.858166608626227</v>
      </c>
      <c r="P24" s="65"/>
      <c r="Q24" s="65"/>
    </row>
    <row r="25" spans="1:17" x14ac:dyDescent="0.25">
      <c r="A25" s="2">
        <v>-98.470325397914564</v>
      </c>
      <c r="B25" s="2">
        <v>-98.470325397914564</v>
      </c>
      <c r="D25">
        <f>Calculate[[#This Row],[Freq]]</f>
        <v>1080000000</v>
      </c>
      <c r="E25" s="2">
        <f>MIN(-90, -89-Masks[[#This Row],[f]]/(600000000*S_ch_us),-82-Masks[[#This Row],[f]]/(250000000*S_ch_us))-K_ch_UPSD_us</f>
        <v>-93.979400086720375</v>
      </c>
      <c r="F25" s="2">
        <f>MIN(-90, -89-Masks[[#This Row],[f]]/(600000000*S_ch_ds),-82-Masks[[#This Row],[f]]/(250000000*S_ch_ds))-K_ch_UPSD_ds</f>
        <v>-93.979400086720375</v>
      </c>
      <c r="G25">
        <f>-MAX(MIN(20,20-10*LOG10(2*Masks[[#This Row],[f]]/480000000)),12-3)</f>
        <v>-13.467874862246562</v>
      </c>
      <c r="H25">
        <f>-MAX(MIN(20,20-10*LOG10(2*Masks[[#This Row],[f]]/480000000)),12-3)</f>
        <v>-13.467874862246562</v>
      </c>
      <c r="I25">
        <f>10*LOG10(POWER(10,Tx_power_us/10)/F_Nyquist_us)+IF(Masks[[#This Row],[f]]&gt;F_Nyquist_us,-50)</f>
        <v>-98.470325397914564</v>
      </c>
      <c r="J25" s="3">
        <f>10*LOG10(POWER(10,Tx_power_ds/10)/F_Nyquist_ds)+IF(Masks[[#This Row],[f]]&gt;F_Nyquist_ds,-50)</f>
        <v>-98.470325397914564</v>
      </c>
      <c r="K25" s="3">
        <f>IF(Masks[[#This Row],[f]]&gt;F_Nyquist_us,0,1)</f>
        <v>1</v>
      </c>
      <c r="L25" s="3">
        <f>IF(Masks[[#This Row],[f]]&gt;F_Nyquist_ds,0,1)</f>
        <v>1</v>
      </c>
      <c r="M25" s="3">
        <f>Config!B$7</f>
        <v>-40</v>
      </c>
      <c r="N25" s="3">
        <f>IF(Config!B$8&gt;0,10*LOG10($T$1*Masks[[#This Row],[f]]+Config!B$8*0.00073),-1000)</f>
        <v>-16.720283763769896</v>
      </c>
      <c r="O25" s="3">
        <f>10*LOG10((10^(Masks[[#This Row],[wire_echo]]/10))+(10^(Masks[[#This Row],[connector_echo]]/10)))</f>
        <v>-16.699922991272413</v>
      </c>
      <c r="P25" s="65"/>
      <c r="Q25" s="65"/>
    </row>
    <row r="26" spans="1:17" x14ac:dyDescent="0.25">
      <c r="A26" s="2">
        <v>-98.470325397914564</v>
      </c>
      <c r="B26" s="2">
        <v>-98.470325397914564</v>
      </c>
      <c r="D26">
        <f>Calculate[[#This Row],[Freq]]</f>
        <v>1125000000</v>
      </c>
      <c r="E26" s="2">
        <f>MIN(-90, -89-Masks[[#This Row],[f]]/(600000000*S_ch_us),-82-Masks[[#This Row],[f]]/(250000000*S_ch_us))-K_ch_UPSD_us</f>
        <v>-93.979400086720375</v>
      </c>
      <c r="F26" s="2">
        <f>MIN(-90, -89-Masks[[#This Row],[f]]/(600000000*S_ch_ds),-82-Masks[[#This Row],[f]]/(250000000*S_ch_ds))-K_ch_UPSD_ds</f>
        <v>-93.979400086720375</v>
      </c>
      <c r="G26">
        <f>-MAX(MIN(20,20-10*LOG10(2*Masks[[#This Row],[f]]/480000000)),12-3)</f>
        <v>-13.290587192642247</v>
      </c>
      <c r="H26">
        <f>-MAX(MIN(20,20-10*LOG10(2*Masks[[#This Row],[f]]/480000000)),12-3)</f>
        <v>-13.290587192642247</v>
      </c>
      <c r="I26">
        <f>10*LOG10(POWER(10,Tx_power_us/10)/F_Nyquist_us)+IF(Masks[[#This Row],[f]]&gt;F_Nyquist_us,-50)</f>
        <v>-98.470325397914564</v>
      </c>
      <c r="J26" s="3">
        <f>10*LOG10(POWER(10,Tx_power_ds/10)/F_Nyquist_ds)+IF(Masks[[#This Row],[f]]&gt;F_Nyquist_ds,-50)</f>
        <v>-98.470325397914564</v>
      </c>
      <c r="K26" s="3">
        <f>IF(Masks[[#This Row],[f]]&gt;F_Nyquist_us,0,1)</f>
        <v>1</v>
      </c>
      <c r="L26" s="3">
        <f>IF(Masks[[#This Row],[f]]&gt;F_Nyquist_ds,0,1)</f>
        <v>1</v>
      </c>
      <c r="M26" s="3">
        <f>Config!B$7</f>
        <v>-40</v>
      </c>
      <c r="N26" s="3">
        <f>IF(Config!B$8&gt;0,10*LOG10($T$1*Masks[[#This Row],[f]]+Config!B$8*0.00073),-1000)</f>
        <v>-16.566898968376588</v>
      </c>
      <c r="O26" s="3">
        <f>10*LOG10((10^(Masks[[#This Row],[wire_echo]]/10))+(10^(Masks[[#This Row],[connector_echo]]/10)))</f>
        <v>-16.547243153792227</v>
      </c>
      <c r="P26" s="65"/>
      <c r="Q26" s="65"/>
    </row>
    <row r="27" spans="1:17" x14ac:dyDescent="0.25">
      <c r="A27" s="2">
        <v>-98.470325397914564</v>
      </c>
      <c r="B27" s="2">
        <v>-98.470325397914564</v>
      </c>
      <c r="D27">
        <f>Calculate[[#This Row],[Freq]]</f>
        <v>1170000000</v>
      </c>
      <c r="E27" s="2">
        <f>MIN(-90, -89-Masks[[#This Row],[f]]/(600000000*S_ch_us),-82-Masks[[#This Row],[f]]/(250000000*S_ch_us))-K_ch_UPSD_us</f>
        <v>-93.979400086720375</v>
      </c>
      <c r="F27" s="2">
        <f>MIN(-90, -89-Masks[[#This Row],[f]]/(600000000*S_ch_ds),-82-Masks[[#This Row],[f]]/(250000000*S_ch_ds))-K_ch_UPSD_ds</f>
        <v>-93.979400086720375</v>
      </c>
      <c r="G27">
        <f>-MAX(MIN(20,20-10*LOG10(2*Masks[[#This Row],[f]]/480000000)),12-3)</f>
        <v>-13.120253799654442</v>
      </c>
      <c r="H27">
        <f>-MAX(MIN(20,20-10*LOG10(2*Masks[[#This Row],[f]]/480000000)),12-3)</f>
        <v>-13.120253799654442</v>
      </c>
      <c r="I27">
        <f>10*LOG10(POWER(10,Tx_power_us/10)/F_Nyquist_us)+IF(Masks[[#This Row],[f]]&gt;F_Nyquist_us,-50)</f>
        <v>-98.470325397914564</v>
      </c>
      <c r="J27" s="3">
        <f>10*LOG10(POWER(10,Tx_power_ds/10)/F_Nyquist_ds)+IF(Masks[[#This Row],[f]]&gt;F_Nyquist_ds,-50)</f>
        <v>-98.470325397914564</v>
      </c>
      <c r="K27" s="3">
        <f>IF(Masks[[#This Row],[f]]&gt;F_Nyquist_us,0,1)</f>
        <v>1</v>
      </c>
      <c r="L27" s="3">
        <f>IF(Masks[[#This Row],[f]]&gt;F_Nyquist_ds,0,1)</f>
        <v>1</v>
      </c>
      <c r="M27" s="3">
        <f>Config!B$7</f>
        <v>-40</v>
      </c>
      <c r="N27" s="3">
        <f>IF(Config!B$8&gt;0,10*LOG10($T$1*Masks[[#This Row],[f]]+Config!B$8*0.00073),-1000)</f>
        <v>-16.418747147233514</v>
      </c>
      <c r="O27" s="3">
        <f>10*LOG10((10^(Masks[[#This Row],[wire_echo]]/10))+(10^(Masks[[#This Row],[connector_echo]]/10)))</f>
        <v>-16.399749108106025</v>
      </c>
      <c r="P27" s="65"/>
      <c r="Q27" s="65"/>
    </row>
    <row r="28" spans="1:17" x14ac:dyDescent="0.25">
      <c r="A28" s="2">
        <v>-98.470325397914564</v>
      </c>
      <c r="B28" s="2">
        <v>-98.470325397914564</v>
      </c>
      <c r="D28">
        <f>Calculate[[#This Row],[Freq]]</f>
        <v>1215000000</v>
      </c>
      <c r="E28" s="2">
        <f>MIN(-90, -89-Masks[[#This Row],[f]]/(600000000*S_ch_us),-82-Masks[[#This Row],[f]]/(250000000*S_ch_us))-K_ch_UPSD_us</f>
        <v>-93.979400086720375</v>
      </c>
      <c r="F28" s="2">
        <f>MIN(-90, -89-Masks[[#This Row],[f]]/(600000000*S_ch_ds),-82-Masks[[#This Row],[f]]/(250000000*S_ch_ds))-K_ch_UPSD_ds</f>
        <v>-93.979400086720375</v>
      </c>
      <c r="G28">
        <f>-MAX(MIN(20,20-10*LOG10(2*Masks[[#This Row],[f]]/480000000)),12-3)</f>
        <v>-12.95634963777275</v>
      </c>
      <c r="H28">
        <f>-MAX(MIN(20,20-10*LOG10(2*Masks[[#This Row],[f]]/480000000)),12-3)</f>
        <v>-12.95634963777275</v>
      </c>
      <c r="I28">
        <f>10*LOG10(POWER(10,Tx_power_us/10)/F_Nyquist_us)+IF(Masks[[#This Row],[f]]&gt;F_Nyquist_us,-50)</f>
        <v>-98.470325397914564</v>
      </c>
      <c r="J28" s="3">
        <f>10*LOG10(POWER(10,Tx_power_ds/10)/F_Nyquist_ds)+IF(Masks[[#This Row],[f]]&gt;F_Nyquist_ds,-50)</f>
        <v>-98.470325397914564</v>
      </c>
      <c r="K28" s="3">
        <f>IF(Masks[[#This Row],[f]]&gt;F_Nyquist_us,0,1)</f>
        <v>1</v>
      </c>
      <c r="L28" s="3">
        <f>IF(Masks[[#This Row],[f]]&gt;F_Nyquist_ds,0,1)</f>
        <v>1</v>
      </c>
      <c r="M28" s="3">
        <f>Config!B$7</f>
        <v>-40</v>
      </c>
      <c r="N28" s="3">
        <f>IF(Config!B$8&gt;0,10*LOG10($T$1*Masks[[#This Row],[f]]+Config!B$8*0.00073),-1000)</f>
        <v>-16.27548298590634</v>
      </c>
      <c r="O28" s="3">
        <f>10*LOG10((10^(Masks[[#This Row],[wire_echo]]/10))+(10^(Masks[[#This Row],[connector_echo]]/10)))</f>
        <v>-16.257100123246889</v>
      </c>
      <c r="P28" s="65"/>
      <c r="Q28" s="65"/>
    </row>
    <row r="29" spans="1:17" x14ac:dyDescent="0.25">
      <c r="A29" s="2">
        <v>-98.470325397914564</v>
      </c>
      <c r="B29" s="2">
        <v>-98.470325397914564</v>
      </c>
      <c r="D29">
        <f>Calculate[[#This Row],[Freq]]</f>
        <v>1260000000</v>
      </c>
      <c r="E29" s="2">
        <f>MIN(-90, -89-Masks[[#This Row],[f]]/(600000000*S_ch_us),-82-Masks[[#This Row],[f]]/(250000000*S_ch_us))-K_ch_UPSD_us</f>
        <v>-93.979400086720375</v>
      </c>
      <c r="F29" s="2">
        <f>MIN(-90, -89-Masks[[#This Row],[f]]/(600000000*S_ch_ds),-82-Masks[[#This Row],[f]]/(250000000*S_ch_ds))-K_ch_UPSD_ds</f>
        <v>-93.979400086720375</v>
      </c>
      <c r="G29">
        <f>-MAX(MIN(20,20-10*LOG10(2*Masks[[#This Row],[f]]/480000000)),12-3)</f>
        <v>-12.79840696594043</v>
      </c>
      <c r="H29">
        <f>-MAX(MIN(20,20-10*LOG10(2*Masks[[#This Row],[f]]/480000000)),12-3)</f>
        <v>-12.79840696594043</v>
      </c>
      <c r="I29">
        <f>10*LOG10(POWER(10,Tx_power_us/10)/F_Nyquist_us)+IF(Masks[[#This Row],[f]]&gt;F_Nyquist_us,-50)</f>
        <v>-98.470325397914564</v>
      </c>
      <c r="J29" s="3">
        <f>10*LOG10(POWER(10,Tx_power_ds/10)/F_Nyquist_ds)+IF(Masks[[#This Row],[f]]&gt;F_Nyquist_ds,-50)</f>
        <v>-98.470325397914564</v>
      </c>
      <c r="K29" s="3">
        <f>IF(Masks[[#This Row],[f]]&gt;F_Nyquist_us,0,1)</f>
        <v>1</v>
      </c>
      <c r="L29" s="3">
        <f>IF(Masks[[#This Row],[f]]&gt;F_Nyquist_ds,0,1)</f>
        <v>1</v>
      </c>
      <c r="M29" s="3">
        <f>Config!B$7</f>
        <v>-40</v>
      </c>
      <c r="N29" s="3">
        <f>IF(Config!B$8&gt;0,10*LOG10($T$1*Masks[[#This Row],[f]]+Config!B$8*0.00073),-1000)</f>
        <v>-16.136794261059539</v>
      </c>
      <c r="O29" s="3">
        <f>10*LOG10((10^(Masks[[#This Row],[wire_echo]]/10))+(10^(Masks[[#This Row],[connector_echo]]/10)))</f>
        <v>-16.118987984294836</v>
      </c>
      <c r="P29" s="65"/>
      <c r="Q29" s="65"/>
    </row>
    <row r="30" spans="1:17" x14ac:dyDescent="0.25">
      <c r="A30" s="2">
        <v>-98.470325397914564</v>
      </c>
      <c r="B30" s="2">
        <v>-98.470325397914564</v>
      </c>
      <c r="D30">
        <f>Calculate[[#This Row],[Freq]]</f>
        <v>1305000000</v>
      </c>
      <c r="E30" s="2">
        <f>MIN(-90, -89-Masks[[#This Row],[f]]/(600000000*S_ch_us),-82-Masks[[#This Row],[f]]/(250000000*S_ch_us))-K_ch_UPSD_us</f>
        <v>-93.979400086720375</v>
      </c>
      <c r="F30" s="2">
        <f>MIN(-90, -89-Masks[[#This Row],[f]]/(600000000*S_ch_ds),-82-Masks[[#This Row],[f]]/(250000000*S_ch_ds))-K_ch_UPSD_ds</f>
        <v>-93.979400086720375</v>
      </c>
      <c r="G30">
        <f>-MAX(MIN(20,20-10*LOG10(2*Masks[[#This Row],[f]]/480000000)),12-3)</f>
        <v>-12.646007300373062</v>
      </c>
      <c r="H30">
        <f>-MAX(MIN(20,20-10*LOG10(2*Masks[[#This Row],[f]]/480000000)),12-3)</f>
        <v>-12.646007300373062</v>
      </c>
      <c r="I30">
        <f>10*LOG10(POWER(10,Tx_power_us/10)/F_Nyquist_us)+IF(Masks[[#This Row],[f]]&gt;F_Nyquist_us,-50)</f>
        <v>-98.470325397914564</v>
      </c>
      <c r="J30" s="3">
        <f>10*LOG10(POWER(10,Tx_power_ds/10)/F_Nyquist_ds)+IF(Masks[[#This Row],[f]]&gt;F_Nyquist_ds,-50)</f>
        <v>-98.470325397914564</v>
      </c>
      <c r="K30" s="3">
        <f>IF(Masks[[#This Row],[f]]&gt;F_Nyquist_us,0,1)</f>
        <v>1</v>
      </c>
      <c r="L30" s="3">
        <f>IF(Masks[[#This Row],[f]]&gt;F_Nyquist_ds,0,1)</f>
        <v>1</v>
      </c>
      <c r="M30" s="3">
        <f>Config!B$7</f>
        <v>-40</v>
      </c>
      <c r="N30" s="3">
        <f>IF(Config!B$8&gt;0,10*LOG10($T$1*Masks[[#This Row],[f]]+Config!B$8*0.00073),-1000)</f>
        <v>-16.002397742896342</v>
      </c>
      <c r="O30" s="3">
        <f>10*LOG10((10^(Masks[[#This Row],[wire_echo]]/10))+(10^(Masks[[#This Row],[connector_echo]]/10)))</f>
        <v>-15.985132982258305</v>
      </c>
      <c r="P30" s="65"/>
      <c r="Q30" s="65"/>
    </row>
    <row r="31" spans="1:17" x14ac:dyDescent="0.25">
      <c r="A31" s="2">
        <v>-98.470325397914564</v>
      </c>
      <c r="B31" s="2">
        <v>-98.470325397914564</v>
      </c>
      <c r="D31">
        <f>Calculate[[#This Row],[Freq]]</f>
        <v>1350000000</v>
      </c>
      <c r="E31" s="2">
        <f>MIN(-90, -89-Masks[[#This Row],[f]]/(600000000*S_ch_us),-82-Masks[[#This Row],[f]]/(250000000*S_ch_us))-K_ch_UPSD_us</f>
        <v>-93.979400086720375</v>
      </c>
      <c r="F31" s="2">
        <f>MIN(-90, -89-Masks[[#This Row],[f]]/(600000000*S_ch_ds),-82-Masks[[#This Row],[f]]/(250000000*S_ch_ds))-K_ch_UPSD_ds</f>
        <v>-93.979400086720375</v>
      </c>
      <c r="G31">
        <f>-MAX(MIN(20,20-10*LOG10(2*Masks[[#This Row],[f]]/480000000)),12-3)</f>
        <v>-12.498774732165998</v>
      </c>
      <c r="H31">
        <f>-MAX(MIN(20,20-10*LOG10(2*Masks[[#This Row],[f]]/480000000)),12-3)</f>
        <v>-12.498774732165998</v>
      </c>
      <c r="I31">
        <f>10*LOG10(POWER(10,Tx_power_us/10)/F_Nyquist_us)+IF(Masks[[#This Row],[f]]&gt;F_Nyquist_us,-50)</f>
        <v>-98.470325397914564</v>
      </c>
      <c r="J31" s="3">
        <f>10*LOG10(POWER(10,Tx_power_ds/10)/F_Nyquist_ds)+IF(Masks[[#This Row],[f]]&gt;F_Nyquist_ds,-50)</f>
        <v>-98.470325397914564</v>
      </c>
      <c r="K31" s="3">
        <f>IF(Masks[[#This Row],[f]]&gt;F_Nyquist_us,0,1)</f>
        <v>1</v>
      </c>
      <c r="L31" s="3">
        <f>IF(Masks[[#This Row],[f]]&gt;F_Nyquist_ds,0,1)</f>
        <v>1</v>
      </c>
      <c r="M31" s="3">
        <f>Config!B$7</f>
        <v>-40</v>
      </c>
      <c r="N31" s="3">
        <f>IF(Config!B$8&gt;0,10*LOG10($T$1*Masks[[#This Row],[f]]+Config!B$8*0.00073),-1000)</f>
        <v>-15.872035712834567</v>
      </c>
      <c r="O31" s="3">
        <f>10*LOG10((10^(Masks[[#This Row],[wire_echo]]/10))+(10^(Masks[[#This Row],[connector_echo]]/10)))</f>
        <v>-15.855280503706977</v>
      </c>
      <c r="P31" s="65"/>
      <c r="Q31" s="65"/>
    </row>
    <row r="32" spans="1:17" x14ac:dyDescent="0.25">
      <c r="A32" s="2">
        <v>-98.470325397914564</v>
      </c>
      <c r="B32" s="2">
        <v>-98.470325397914564</v>
      </c>
      <c r="D32">
        <f>Calculate[[#This Row],[Freq]]</f>
        <v>1395000000</v>
      </c>
      <c r="E32" s="2">
        <f>MIN(-90, -89-Masks[[#This Row],[f]]/(600000000*S_ch_us),-82-Masks[[#This Row],[f]]/(250000000*S_ch_us))-K_ch_UPSD_us</f>
        <v>-93.979400086720375</v>
      </c>
      <c r="F32" s="2">
        <f>MIN(-90, -89-Masks[[#This Row],[f]]/(600000000*S_ch_ds),-82-Masks[[#This Row],[f]]/(250000000*S_ch_ds))-K_ch_UPSD_ds</f>
        <v>-93.979400086720375</v>
      </c>
      <c r="G32">
        <f>-MAX(MIN(20,20-10*LOG10(2*Masks[[#This Row],[f]]/480000000)),12-3)</f>
        <v>-12.356370341019897</v>
      </c>
      <c r="H32">
        <f>-MAX(MIN(20,20-10*LOG10(2*Masks[[#This Row],[f]]/480000000)),12-3)</f>
        <v>-12.356370341019897</v>
      </c>
      <c r="I32">
        <f>10*LOG10(POWER(10,Tx_power_us/10)/F_Nyquist_us)+IF(Masks[[#This Row],[f]]&gt;F_Nyquist_us,-50)</f>
        <v>-98.470325397914564</v>
      </c>
      <c r="J32" s="3">
        <f>10*LOG10(POWER(10,Tx_power_ds/10)/F_Nyquist_ds)+IF(Masks[[#This Row],[f]]&gt;F_Nyquist_ds,-50)</f>
        <v>-98.470325397914564</v>
      </c>
      <c r="K32" s="3">
        <f>IF(Masks[[#This Row],[f]]&gt;F_Nyquist_us,0,1)</f>
        <v>1</v>
      </c>
      <c r="L32" s="3">
        <f>IF(Masks[[#This Row],[f]]&gt;F_Nyquist_ds,0,1)</f>
        <v>1</v>
      </c>
      <c r="M32" s="3">
        <f>Config!B$7</f>
        <v>-40</v>
      </c>
      <c r="N32" s="3">
        <f>IF(Config!B$8&gt;0,10*LOG10($T$1*Masks[[#This Row],[f]]+Config!B$8*0.00073),-1000)</f>
        <v>-15.745472988791516</v>
      </c>
      <c r="O32" s="3">
        <f>10*LOG10((10^(Masks[[#This Row],[wire_echo]]/10))+(10^(Masks[[#This Row],[connector_echo]]/10)))</f>
        <v>-15.729198115636407</v>
      </c>
      <c r="P32" s="65"/>
      <c r="Q32" s="65"/>
    </row>
    <row r="33" spans="1:17" x14ac:dyDescent="0.25">
      <c r="A33" s="2">
        <v>-98.470325397914564</v>
      </c>
      <c r="B33" s="2">
        <v>-98.470325397914564</v>
      </c>
      <c r="D33">
        <f>Calculate[[#This Row],[Freq]]</f>
        <v>1440000000</v>
      </c>
      <c r="E33" s="2">
        <f>MIN(-90, -89-Masks[[#This Row],[f]]/(600000000*S_ch_us),-82-Masks[[#This Row],[f]]/(250000000*S_ch_us))-K_ch_UPSD_us</f>
        <v>-93.979400086720375</v>
      </c>
      <c r="F33" s="2">
        <f>MIN(-90, -89-Masks[[#This Row],[f]]/(600000000*S_ch_ds),-82-Masks[[#This Row],[f]]/(250000000*S_ch_ds))-K_ch_UPSD_ds</f>
        <v>-93.979400086720375</v>
      </c>
      <c r="G33">
        <f>-MAX(MIN(20,20-10*LOG10(2*Masks[[#This Row],[f]]/480000000)),12-3)</f>
        <v>-12.218487496163563</v>
      </c>
      <c r="H33">
        <f>-MAX(MIN(20,20-10*LOG10(2*Masks[[#This Row],[f]]/480000000)),12-3)</f>
        <v>-12.218487496163563</v>
      </c>
      <c r="I33">
        <f>10*LOG10(POWER(10,Tx_power_us/10)/F_Nyquist_us)+IF(Masks[[#This Row],[f]]&gt;F_Nyquist_us,-50)</f>
        <v>-98.470325397914564</v>
      </c>
      <c r="J33" s="3">
        <f>10*LOG10(POWER(10,Tx_power_ds/10)/F_Nyquist_ds)+IF(Masks[[#This Row],[f]]&gt;F_Nyquist_ds,-50)</f>
        <v>-98.470325397914564</v>
      </c>
      <c r="K33" s="3">
        <f>IF(Masks[[#This Row],[f]]&gt;F_Nyquist_us,0,1)</f>
        <v>1</v>
      </c>
      <c r="L33" s="3">
        <f>IF(Masks[[#This Row],[f]]&gt;F_Nyquist_ds,0,1)</f>
        <v>1</v>
      </c>
      <c r="M33" s="3">
        <f>Config!B$7</f>
        <v>-40</v>
      </c>
      <c r="N33" s="3">
        <f>IF(Config!B$8&gt;0,10*LOG10($T$1*Masks[[#This Row],[f]]+Config!B$8*0.00073),-1000)</f>
        <v>-15.622494371796121</v>
      </c>
      <c r="O33" s="3">
        <f>10*LOG10((10^(Masks[[#This Row],[wire_echo]]/10))+(10^(Masks[[#This Row],[connector_echo]]/10)))</f>
        <v>-15.606673061697375</v>
      </c>
      <c r="P33" s="65"/>
      <c r="Q33" s="65"/>
    </row>
    <row r="34" spans="1:17" x14ac:dyDescent="0.25">
      <c r="A34" s="2">
        <v>-98.470325397914564</v>
      </c>
      <c r="B34" s="2">
        <v>-98.470325397914564</v>
      </c>
      <c r="D34">
        <f>Calculate[[#This Row],[Freq]]</f>
        <v>1485000000</v>
      </c>
      <c r="E34" s="2">
        <f>MIN(-90, -89-Masks[[#This Row],[f]]/(600000000*S_ch_us),-82-Masks[[#This Row],[f]]/(250000000*S_ch_us))-K_ch_UPSD_us</f>
        <v>-93.979400086720375</v>
      </c>
      <c r="F34" s="2">
        <f>MIN(-90, -89-Masks[[#This Row],[f]]/(600000000*S_ch_ds),-82-Masks[[#This Row],[f]]/(250000000*S_ch_ds))-K_ch_UPSD_ds</f>
        <v>-93.979400086720375</v>
      </c>
      <c r="G34">
        <f>-MAX(MIN(20,20-10*LOG10(2*Masks[[#This Row],[f]]/480000000)),12-3)</f>
        <v>-12.084847880583748</v>
      </c>
      <c r="H34">
        <f>-MAX(MIN(20,20-10*LOG10(2*Masks[[#This Row],[f]]/480000000)),12-3)</f>
        <v>-12.084847880583748</v>
      </c>
      <c r="I34">
        <f>10*LOG10(POWER(10,Tx_power_us/10)/F_Nyquist_us)+IF(Masks[[#This Row],[f]]&gt;F_Nyquist_us,-50)</f>
        <v>-98.470325397914564</v>
      </c>
      <c r="J34" s="3">
        <f>10*LOG10(POWER(10,Tx_power_ds/10)/F_Nyquist_ds)+IF(Masks[[#This Row],[f]]&gt;F_Nyquist_ds,-50)</f>
        <v>-98.470325397914564</v>
      </c>
      <c r="K34" s="3">
        <f>IF(Masks[[#This Row],[f]]&gt;F_Nyquist_us,0,1)</f>
        <v>1</v>
      </c>
      <c r="L34" s="3">
        <f>IF(Masks[[#This Row],[f]]&gt;F_Nyquist_ds,0,1)</f>
        <v>1</v>
      </c>
      <c r="M34" s="3">
        <f>Config!B$7</f>
        <v>-40</v>
      </c>
      <c r="N34" s="3">
        <f>IF(Config!B$8&gt;0,10*LOG10($T$1*Masks[[#This Row],[f]]+Config!B$8*0.00073),-1000)</f>
        <v>-15.502902444286304</v>
      </c>
      <c r="O34" s="3">
        <f>10*LOG10((10^(Masks[[#This Row],[wire_echo]]/10))+(10^(Masks[[#This Row],[connector_echo]]/10)))</f>
        <v>-15.487510102038627</v>
      </c>
      <c r="P34" s="65"/>
      <c r="Q34" s="65"/>
    </row>
    <row r="35" spans="1:17" x14ac:dyDescent="0.25">
      <c r="A35" s="2">
        <v>-98.470325397914564</v>
      </c>
      <c r="B35" s="2">
        <v>-98.470325397914564</v>
      </c>
      <c r="D35">
        <f>Calculate[[#This Row],[Freq]]</f>
        <v>1530000000</v>
      </c>
      <c r="E35" s="2">
        <f>MIN(-90, -89-Masks[[#This Row],[f]]/(600000000*S_ch_us),-82-Masks[[#This Row],[f]]/(250000000*S_ch_us))-K_ch_UPSD_us</f>
        <v>-93.999400086720371</v>
      </c>
      <c r="F35" s="2">
        <f>MIN(-90, -89-Masks[[#This Row],[f]]/(600000000*S_ch_ds),-82-Masks[[#This Row],[f]]/(250000000*S_ch_ds))-K_ch_UPSD_ds</f>
        <v>-93.999400086720371</v>
      </c>
      <c r="G35">
        <f>-MAX(MIN(20,20-10*LOG10(2*Masks[[#This Row],[f]]/480000000)),12-3)</f>
        <v>-11.955198108940072</v>
      </c>
      <c r="H35">
        <f>-MAX(MIN(20,20-10*LOG10(2*Masks[[#This Row],[f]]/480000000)),12-3)</f>
        <v>-11.955198108940072</v>
      </c>
      <c r="I35">
        <f>10*LOG10(POWER(10,Tx_power_us/10)/F_Nyquist_us)+IF(Masks[[#This Row],[f]]&gt;F_Nyquist_us,-50)</f>
        <v>-98.470325397914564</v>
      </c>
      <c r="J35" s="3">
        <f>10*LOG10(POWER(10,Tx_power_ds/10)/F_Nyquist_ds)+IF(Masks[[#This Row],[f]]&gt;F_Nyquist_ds,-50)</f>
        <v>-98.470325397914564</v>
      </c>
      <c r="K35" s="3">
        <f>IF(Masks[[#This Row],[f]]&gt;F_Nyquist_us,0,1)</f>
        <v>1</v>
      </c>
      <c r="L35" s="3">
        <f>IF(Masks[[#This Row],[f]]&gt;F_Nyquist_ds,0,1)</f>
        <v>1</v>
      </c>
      <c r="M35" s="3">
        <f>Config!B$7</f>
        <v>-40</v>
      </c>
      <c r="N35" s="3">
        <f>IF(Config!B$8&gt;0,10*LOG10($T$1*Masks[[#This Row],[f]]+Config!B$8*0.00073),-1000)</f>
        <v>-15.386515663520171</v>
      </c>
      <c r="O35" s="3">
        <f>10*LOG10((10^(Masks[[#This Row],[wire_echo]]/10))+(10^(Masks[[#This Row],[connector_echo]]/10)))</f>
        <v>-15.371529641683264</v>
      </c>
      <c r="P35" s="65"/>
      <c r="Q35" s="65"/>
    </row>
    <row r="36" spans="1:17" x14ac:dyDescent="0.25">
      <c r="A36" s="2">
        <v>-98.470325397914564</v>
      </c>
      <c r="B36" s="2">
        <v>-98.470325397914564</v>
      </c>
      <c r="D36">
        <f>Calculate[[#This Row],[Freq]]</f>
        <v>1575000000</v>
      </c>
      <c r="E36" s="2">
        <f>MIN(-90, -89-Masks[[#This Row],[f]]/(600000000*S_ch_us),-82-Masks[[#This Row],[f]]/(250000000*S_ch_us))-K_ch_UPSD_us</f>
        <v>-94.029400086720372</v>
      </c>
      <c r="F36" s="2">
        <f>MIN(-90, -89-Masks[[#This Row],[f]]/(600000000*S_ch_ds),-82-Masks[[#This Row],[f]]/(250000000*S_ch_ds))-K_ch_UPSD_ds</f>
        <v>-94.029400086720372</v>
      </c>
      <c r="G36">
        <f>-MAX(MIN(20,20-10*LOG10(2*Masks[[#This Row],[f]]/480000000)),12-3)</f>
        <v>-11.829306835859867</v>
      </c>
      <c r="H36">
        <f>-MAX(MIN(20,20-10*LOG10(2*Masks[[#This Row],[f]]/480000000)),12-3)</f>
        <v>-11.829306835859867</v>
      </c>
      <c r="I36">
        <f>10*LOG10(POWER(10,Tx_power_us/10)/F_Nyquist_us)+IF(Masks[[#This Row],[f]]&gt;F_Nyquist_us,-50)</f>
        <v>-98.470325397914564</v>
      </c>
      <c r="J36" s="3">
        <f>10*LOG10(POWER(10,Tx_power_ds/10)/F_Nyquist_ds)+IF(Masks[[#This Row],[f]]&gt;F_Nyquist_ds,-50)</f>
        <v>-98.470325397914564</v>
      </c>
      <c r="K36" s="3">
        <f>IF(Masks[[#This Row],[f]]&gt;F_Nyquist_us,0,1)</f>
        <v>1</v>
      </c>
      <c r="L36" s="3">
        <f>IF(Masks[[#This Row],[f]]&gt;F_Nyquist_ds,0,1)</f>
        <v>1</v>
      </c>
      <c r="M36" s="3">
        <f>Config!B$7</f>
        <v>-40</v>
      </c>
      <c r="N36" s="3">
        <f>IF(Config!B$8&gt;0,10*LOG10($T$1*Masks[[#This Row],[f]]+Config!B$8*0.00073),-1000)</f>
        <v>-15.273166703869595</v>
      </c>
      <c r="O36" s="3">
        <f>10*LOG10((10^(Masks[[#This Row],[wire_echo]]/10))+(10^(Masks[[#This Row],[connector_echo]]/10)))</f>
        <v>-15.258566102391946</v>
      </c>
      <c r="P36" s="65"/>
      <c r="Q36" s="65"/>
    </row>
    <row r="37" spans="1:17" x14ac:dyDescent="0.25">
      <c r="A37" s="2">
        <v>-98.470325397914564</v>
      </c>
      <c r="B37" s="2">
        <v>-98.470325397914564</v>
      </c>
      <c r="D37">
        <f>Calculate[[#This Row],[Freq]]</f>
        <v>1620000000</v>
      </c>
      <c r="E37" s="2">
        <f>MIN(-90, -89-Masks[[#This Row],[f]]/(600000000*S_ch_us),-82-Masks[[#This Row],[f]]/(250000000*S_ch_us))-K_ch_UPSD_us</f>
        <v>-94.059400086720373</v>
      </c>
      <c r="F37" s="2">
        <f>MIN(-90, -89-Masks[[#This Row],[f]]/(600000000*S_ch_ds),-82-Masks[[#This Row],[f]]/(250000000*S_ch_ds))-K_ch_UPSD_ds</f>
        <v>-94.059400086720373</v>
      </c>
      <c r="G37">
        <f>-MAX(MIN(20,20-10*LOG10(2*Masks[[#This Row],[f]]/480000000)),12-3)</f>
        <v>-11.706962271689751</v>
      </c>
      <c r="H37">
        <f>-MAX(MIN(20,20-10*LOG10(2*Masks[[#This Row],[f]]/480000000)),12-3)</f>
        <v>-11.706962271689751</v>
      </c>
      <c r="I37">
        <f>10*LOG10(POWER(10,Tx_power_us/10)/F_Nyquist_us)+IF(Masks[[#This Row],[f]]&gt;F_Nyquist_us,-50)</f>
        <v>-98.470325397914564</v>
      </c>
      <c r="J37" s="3">
        <f>10*LOG10(POWER(10,Tx_power_ds/10)/F_Nyquist_ds)+IF(Masks[[#This Row],[f]]&gt;F_Nyquist_ds,-50)</f>
        <v>-98.470325397914564</v>
      </c>
      <c r="K37" s="3">
        <f>IF(Masks[[#This Row],[f]]&gt;F_Nyquist_us,0,1)</f>
        <v>1</v>
      </c>
      <c r="L37" s="3">
        <f>IF(Masks[[#This Row],[f]]&gt;F_Nyquist_ds,0,1)</f>
        <v>1</v>
      </c>
      <c r="M37" s="3">
        <f>Config!B$7</f>
        <v>-40</v>
      </c>
      <c r="N37" s="3">
        <f>IF(Config!B$8&gt;0,10*LOG10($T$1*Masks[[#This Row],[f]]+Config!B$8*0.00073),-1000)</f>
        <v>-15.162701009999761</v>
      </c>
      <c r="O37" s="3">
        <f>10*LOG10((10^(Masks[[#This Row],[wire_echo]]/10))+(10^(Masks[[#This Row],[connector_echo]]/10)))</f>
        <v>-15.148466500963478</v>
      </c>
      <c r="P37" s="65"/>
      <c r="Q37" s="65"/>
    </row>
    <row r="38" spans="1:17" x14ac:dyDescent="0.25">
      <c r="A38" s="2">
        <v>-98.470325397914564</v>
      </c>
      <c r="B38" s="2">
        <v>-98.470325397914564</v>
      </c>
      <c r="D38">
        <f>Calculate[[#This Row],[Freq]]</f>
        <v>1665000000</v>
      </c>
      <c r="E38" s="2">
        <f>MIN(-90, -89-Masks[[#This Row],[f]]/(600000000*S_ch_us),-82-Masks[[#This Row],[f]]/(250000000*S_ch_us))-K_ch_UPSD_us</f>
        <v>-94.089400086720374</v>
      </c>
      <c r="F38" s="2">
        <f>MIN(-90, -89-Masks[[#This Row],[f]]/(600000000*S_ch_ds),-82-Masks[[#This Row],[f]]/(250000000*S_ch_ds))-K_ch_UPSD_ds</f>
        <v>-94.089400086720374</v>
      </c>
      <c r="G38">
        <f>-MAX(MIN(20,20-10*LOG10(2*Masks[[#This Row],[f]]/480000000)),12-3)</f>
        <v>-11.587970038692673</v>
      </c>
      <c r="H38">
        <f>-MAX(MIN(20,20-10*LOG10(2*Masks[[#This Row],[f]]/480000000)),12-3)</f>
        <v>-11.587970038692673</v>
      </c>
      <c r="I38">
        <f>10*LOG10(POWER(10,Tx_power_us/10)/F_Nyquist_us)+IF(Masks[[#This Row],[f]]&gt;F_Nyquist_us,-50)</f>
        <v>-98.470325397914564</v>
      </c>
      <c r="J38" s="3">
        <f>10*LOG10(POWER(10,Tx_power_ds/10)/F_Nyquist_ds)+IF(Masks[[#This Row],[f]]&gt;F_Nyquist_ds,-50)</f>
        <v>-98.470325397914564</v>
      </c>
      <c r="K38" s="3">
        <f>IF(Masks[[#This Row],[f]]&gt;F_Nyquist_us,0,1)</f>
        <v>1</v>
      </c>
      <c r="L38" s="3">
        <f>IF(Masks[[#This Row],[f]]&gt;F_Nyquist_ds,0,1)</f>
        <v>1</v>
      </c>
      <c r="M38" s="3">
        <f>Config!B$7</f>
        <v>-40</v>
      </c>
      <c r="N38" s="3">
        <f>IF(Config!B$8&gt;0,10*LOG10($T$1*Masks[[#This Row],[f]]+Config!B$8*0.00073),-1000)</f>
        <v>-15.054975529538268</v>
      </c>
      <c r="O38" s="3">
        <f>10*LOG10((10^(Masks[[#This Row],[wire_echo]]/10))+(10^(Masks[[#This Row],[connector_echo]]/10)))</f>
        <v>-15.041089203338124</v>
      </c>
      <c r="P38" s="65"/>
      <c r="Q38" s="65"/>
    </row>
    <row r="39" spans="1:17" x14ac:dyDescent="0.25">
      <c r="A39" s="2">
        <v>-98.470325397914564</v>
      </c>
      <c r="B39" s="2">
        <v>-98.470325397914564</v>
      </c>
      <c r="D39">
        <f>Calculate[[#This Row],[Freq]]</f>
        <v>1710000000</v>
      </c>
      <c r="E39" s="2">
        <f>MIN(-90, -89-Masks[[#This Row],[f]]/(600000000*S_ch_us),-82-Masks[[#This Row],[f]]/(250000000*S_ch_us))-K_ch_UPSD_us</f>
        <v>-94.119400086720375</v>
      </c>
      <c r="F39" s="2">
        <f>MIN(-90, -89-Masks[[#This Row],[f]]/(600000000*S_ch_ds),-82-Masks[[#This Row],[f]]/(250000000*S_ch_ds))-K_ch_UPSD_ds</f>
        <v>-94.119400086720375</v>
      </c>
      <c r="G39">
        <f>-MAX(MIN(20,20-10*LOG10(2*Masks[[#This Row],[f]]/480000000)),12-3)</f>
        <v>-11.472151313194521</v>
      </c>
      <c r="H39">
        <f>-MAX(MIN(20,20-10*LOG10(2*Masks[[#This Row],[f]]/480000000)),12-3)</f>
        <v>-11.472151313194521</v>
      </c>
      <c r="I39">
        <f>10*LOG10(POWER(10,Tx_power_us/10)/F_Nyquist_us)+IF(Masks[[#This Row],[f]]&gt;F_Nyquist_us,-50)</f>
        <v>-98.470325397914564</v>
      </c>
      <c r="J39" s="3">
        <f>10*LOG10(POWER(10,Tx_power_ds/10)/F_Nyquist_ds)+IF(Masks[[#This Row],[f]]&gt;F_Nyquist_ds,-50)</f>
        <v>-98.470325397914564</v>
      </c>
      <c r="K39" s="3">
        <f>IF(Masks[[#This Row],[f]]&gt;F_Nyquist_us,0,1)</f>
        <v>1</v>
      </c>
      <c r="L39" s="3">
        <f>IF(Masks[[#This Row],[f]]&gt;F_Nyquist_ds,0,1)</f>
        <v>1</v>
      </c>
      <c r="M39" s="3">
        <f>Config!B$7</f>
        <v>-40</v>
      </c>
      <c r="N39" s="3">
        <f>IF(Config!B$8&gt;0,10*LOG10($T$1*Masks[[#This Row],[f]]+Config!B$8*0.00073),-1000)</f>
        <v>-14.949857599158928</v>
      </c>
      <c r="O39" s="3">
        <f>10*LOG10((10^(Masks[[#This Row],[wire_echo]]/10))+(10^(Masks[[#This Row],[connector_echo]]/10)))</f>
        <v>-14.936302829044958</v>
      </c>
      <c r="P39" s="65"/>
      <c r="Q39" s="65"/>
    </row>
    <row r="40" spans="1:17" x14ac:dyDescent="0.25">
      <c r="A40" s="2">
        <v>-98.470325397914564</v>
      </c>
      <c r="B40" s="2">
        <v>-98.470325397914564</v>
      </c>
      <c r="D40">
        <f>Calculate[[#This Row],[Freq]]</f>
        <v>1755000000</v>
      </c>
      <c r="E40" s="2">
        <f>MIN(-90, -89-Masks[[#This Row],[f]]/(600000000*S_ch_us),-82-Masks[[#This Row],[f]]/(250000000*S_ch_us))-K_ch_UPSD_us</f>
        <v>-94.149400086720377</v>
      </c>
      <c r="F40" s="2">
        <f>MIN(-90, -89-Masks[[#This Row],[f]]/(600000000*S_ch_ds),-82-Masks[[#This Row],[f]]/(250000000*S_ch_ds))-K_ch_UPSD_ds</f>
        <v>-94.149400086720377</v>
      </c>
      <c r="G40">
        <f>-MAX(MIN(20,20-10*LOG10(2*Masks[[#This Row],[f]]/480000000)),12-3)</f>
        <v>-11.35934120909763</v>
      </c>
      <c r="H40">
        <f>-MAX(MIN(20,20-10*LOG10(2*Masks[[#This Row],[f]]/480000000)),12-3)</f>
        <v>-11.35934120909763</v>
      </c>
      <c r="I40">
        <f>10*LOG10(POWER(10,Tx_power_us/10)/F_Nyquist_us)+IF(Masks[[#This Row],[f]]&gt;F_Nyquist_us,-50)</f>
        <v>-98.470325397914564</v>
      </c>
      <c r="J40" s="3">
        <f>10*LOG10(POWER(10,Tx_power_ds/10)/F_Nyquist_ds)+IF(Masks[[#This Row],[f]]&gt;F_Nyquist_ds,-50)</f>
        <v>-98.470325397914564</v>
      </c>
      <c r="K40" s="3">
        <f>IF(Masks[[#This Row],[f]]&gt;F_Nyquist_us,0,1)</f>
        <v>1</v>
      </c>
      <c r="L40" s="3">
        <f>IF(Masks[[#This Row],[f]]&gt;F_Nyquist_ds,0,1)</f>
        <v>1</v>
      </c>
      <c r="M40" s="3">
        <f>Config!B$7</f>
        <v>-40</v>
      </c>
      <c r="N40" s="3">
        <f>IF(Config!B$8&gt;0,10*LOG10($T$1*Masks[[#This Row],[f]]+Config!B$8*0.00073),-1000)</f>
        <v>-14.847223962320415</v>
      </c>
      <c r="O40" s="3">
        <f>10*LOG10((10^(Masks[[#This Row],[wire_echo]]/10))+(10^(Masks[[#This Row],[connector_echo]]/10)))</f>
        <v>-14.833985284734661</v>
      </c>
      <c r="P40" s="65"/>
      <c r="Q40" s="65"/>
    </row>
    <row r="41" spans="1:17" x14ac:dyDescent="0.25">
      <c r="A41" s="2">
        <v>-98.470325397914564</v>
      </c>
      <c r="B41" s="2">
        <v>-98.470325397914564</v>
      </c>
      <c r="D41">
        <f>Calculate[[#This Row],[Freq]]</f>
        <v>1800000000</v>
      </c>
      <c r="E41" s="2">
        <f>MIN(-90, -89-Masks[[#This Row],[f]]/(600000000*S_ch_us),-82-Masks[[#This Row],[f]]/(250000000*S_ch_us))-K_ch_UPSD_us</f>
        <v>-94.179400086720378</v>
      </c>
      <c r="F41" s="2">
        <f>MIN(-90, -89-Masks[[#This Row],[f]]/(600000000*S_ch_ds),-82-Masks[[#This Row],[f]]/(250000000*S_ch_ds))-K_ch_UPSD_ds</f>
        <v>-94.179400086720378</v>
      </c>
      <c r="G41">
        <f>-MAX(MIN(20,20-10*LOG10(2*Masks[[#This Row],[f]]/480000000)),12-3)</f>
        <v>-11.249387366082999</v>
      </c>
      <c r="H41">
        <f>-MAX(MIN(20,20-10*LOG10(2*Masks[[#This Row],[f]]/480000000)),12-3)</f>
        <v>-11.249387366082999</v>
      </c>
      <c r="I41">
        <f>10*LOG10(POWER(10,Tx_power_us/10)/F_Nyquist_us)+IF(Masks[[#This Row],[f]]&gt;F_Nyquist_us,-50)</f>
        <v>-98.470325397914564</v>
      </c>
      <c r="J41" s="3">
        <f>10*LOG10(POWER(10,Tx_power_ds/10)/F_Nyquist_ds)+IF(Masks[[#This Row],[f]]&gt;F_Nyquist_ds,-50)</f>
        <v>-98.470325397914564</v>
      </c>
      <c r="K41" s="3">
        <f>IF(Masks[[#This Row],[f]]&gt;F_Nyquist_us,0,1)</f>
        <v>1</v>
      </c>
      <c r="L41" s="3">
        <f>IF(Masks[[#This Row],[f]]&gt;F_Nyquist_ds,0,1)</f>
        <v>1</v>
      </c>
      <c r="M41" s="3">
        <f>Config!B$7</f>
        <v>-40</v>
      </c>
      <c r="N41" s="3">
        <f>IF(Config!B$8&gt;0,10*LOG10($T$1*Masks[[#This Row],[f]]+Config!B$8*0.00073),-1000)</f>
        <v>-14.746959900417611</v>
      </c>
      <c r="O41" s="3">
        <f>10*LOG10((10^(Masks[[#This Row],[wire_echo]]/10))+(10^(Masks[[#This Row],[connector_echo]]/10)))</f>
        <v>-14.734022908965478</v>
      </c>
      <c r="P41" s="65"/>
      <c r="Q41" s="65"/>
    </row>
    <row r="42" spans="1:17" x14ac:dyDescent="0.25">
      <c r="A42" s="2">
        <v>-98.470325397914564</v>
      </c>
      <c r="B42" s="2">
        <v>-98.470325397914564</v>
      </c>
      <c r="D42">
        <f>Calculate[[#This Row],[Freq]]</f>
        <v>1845000000</v>
      </c>
      <c r="E42" s="2">
        <f>MIN(-90, -89-Masks[[#This Row],[f]]/(600000000*S_ch_us),-82-Masks[[#This Row],[f]]/(250000000*S_ch_us))-K_ch_UPSD_us</f>
        <v>-94.209400086720379</v>
      </c>
      <c r="F42" s="2">
        <f>MIN(-90, -89-Masks[[#This Row],[f]]/(600000000*S_ch_ds),-82-Masks[[#This Row],[f]]/(250000000*S_ch_ds))-K_ch_UPSD_ds</f>
        <v>-94.209400086720379</v>
      </c>
      <c r="G42">
        <f>-MAX(MIN(20,20-10*LOG10(2*Masks[[#This Row],[f]]/480000000)),12-3)</f>
        <v>-11.142148712165268</v>
      </c>
      <c r="H42">
        <f>-MAX(MIN(20,20-10*LOG10(2*Masks[[#This Row],[f]]/480000000)),12-3)</f>
        <v>-11.142148712165268</v>
      </c>
      <c r="I42">
        <f>10*LOG10(POWER(10,Tx_power_us/10)/F_Nyquist_us)+IF(Masks[[#This Row],[f]]&gt;F_Nyquist_us,-50)</f>
        <v>-98.470325397914564</v>
      </c>
      <c r="J42" s="3">
        <f>10*LOG10(POWER(10,Tx_power_ds/10)/F_Nyquist_ds)+IF(Masks[[#This Row],[f]]&gt;F_Nyquist_ds,-50)</f>
        <v>-98.470325397914564</v>
      </c>
      <c r="K42" s="3">
        <f>IF(Masks[[#This Row],[f]]&gt;F_Nyquist_us,0,1)</f>
        <v>1</v>
      </c>
      <c r="L42" s="3">
        <f>IF(Masks[[#This Row],[f]]&gt;F_Nyquist_ds,0,1)</f>
        <v>1</v>
      </c>
      <c r="M42" s="3">
        <f>Config!B$7</f>
        <v>-40</v>
      </c>
      <c r="N42" s="3">
        <f>IF(Config!B$8&gt;0,10*LOG10($T$1*Masks[[#This Row],[f]]+Config!B$8*0.00073),-1000)</f>
        <v>-14.648958461986064</v>
      </c>
      <c r="O42" s="3">
        <f>10*LOG10((10^(Masks[[#This Row],[wire_echo]]/10))+(10^(Masks[[#This Row],[connector_echo]]/10)))</f>
        <v>-14.636309713219589</v>
      </c>
      <c r="P42" s="65"/>
      <c r="Q42" s="65"/>
    </row>
    <row r="43" spans="1:17" x14ac:dyDescent="0.25">
      <c r="A43" s="2">
        <v>-98.470325397914564</v>
      </c>
      <c r="B43" s="2">
        <v>-98.470325397914564</v>
      </c>
      <c r="D43">
        <f>Calculate[[#This Row],[Freq]]</f>
        <v>1890000000</v>
      </c>
      <c r="E43" s="2">
        <f>MIN(-90, -89-Masks[[#This Row],[f]]/(600000000*S_ch_us),-82-Masks[[#This Row],[f]]/(250000000*S_ch_us))-K_ch_UPSD_us</f>
        <v>-94.23940008672038</v>
      </c>
      <c r="F43" s="2">
        <f>MIN(-90, -89-Masks[[#This Row],[f]]/(600000000*S_ch_ds),-82-Masks[[#This Row],[f]]/(250000000*S_ch_ds))-K_ch_UPSD_ds</f>
        <v>-94.23940008672038</v>
      </c>
      <c r="G43">
        <f>-MAX(MIN(20,20-10*LOG10(2*Masks[[#This Row],[f]]/480000000)),12-3)</f>
        <v>-11.037494375383618</v>
      </c>
      <c r="H43">
        <f>-MAX(MIN(20,20-10*LOG10(2*Masks[[#This Row],[f]]/480000000)),12-3)</f>
        <v>-11.037494375383618</v>
      </c>
      <c r="I43">
        <f>10*LOG10(POWER(10,Tx_power_us/10)/F_Nyquist_us)+IF(Masks[[#This Row],[f]]&gt;F_Nyquist_us,-50)</f>
        <v>-98.470325397914564</v>
      </c>
      <c r="J43" s="3">
        <f>10*LOG10(POWER(10,Tx_power_ds/10)/F_Nyquist_ds)+IF(Masks[[#This Row],[f]]&gt;F_Nyquist_ds,-50)</f>
        <v>-98.470325397914564</v>
      </c>
      <c r="K43" s="3">
        <f>IF(Masks[[#This Row],[f]]&gt;F_Nyquist_us,0,1)</f>
        <v>1</v>
      </c>
      <c r="L43" s="3">
        <f>IF(Masks[[#This Row],[f]]&gt;F_Nyquist_ds,0,1)</f>
        <v>1</v>
      </c>
      <c r="M43" s="3">
        <f>Config!B$7</f>
        <v>-40</v>
      </c>
      <c r="N43" s="3">
        <f>IF(Config!B$8&gt;0,10*LOG10($T$1*Masks[[#This Row],[f]]+Config!B$8*0.00073),-1000)</f>
        <v>-14.553119776973224</v>
      </c>
      <c r="O43" s="3">
        <f>10*LOG10((10^(Masks[[#This Row],[wire_echo]]/10))+(10^(Masks[[#This Row],[connector_echo]]/10)))</f>
        <v>-14.540746706441572</v>
      </c>
      <c r="P43" s="65"/>
      <c r="Q43" s="65"/>
    </row>
    <row r="44" spans="1:17" x14ac:dyDescent="0.25">
      <c r="A44" s="2">
        <v>-98.470325397914564</v>
      </c>
      <c r="B44" s="2">
        <v>-98.470325397914564</v>
      </c>
      <c r="D44">
        <f>Calculate[[#This Row],[Freq]]</f>
        <v>1935000000</v>
      </c>
      <c r="E44" s="2">
        <f>MIN(-90, -89-Masks[[#This Row],[f]]/(600000000*S_ch_us),-82-Masks[[#This Row],[f]]/(250000000*S_ch_us))-K_ch_UPSD_us</f>
        <v>-94.269400086720381</v>
      </c>
      <c r="F44" s="2">
        <f>MIN(-90, -89-Masks[[#This Row],[f]]/(600000000*S_ch_ds),-82-Masks[[#This Row],[f]]/(250000000*S_ch_ds))-K_ch_UPSD_ds</f>
        <v>-94.269400086720381</v>
      </c>
      <c r="G44">
        <f>-MAX(MIN(20,20-10*LOG10(2*Masks[[#This Row],[f]]/480000000)),12-3)</f>
        <v>-10.935302723566757</v>
      </c>
      <c r="H44">
        <f>-MAX(MIN(20,20-10*LOG10(2*Masks[[#This Row],[f]]/480000000)),12-3)</f>
        <v>-10.935302723566757</v>
      </c>
      <c r="I44">
        <f>10*LOG10(POWER(10,Tx_power_us/10)/F_Nyquist_us)+IF(Masks[[#This Row],[f]]&gt;F_Nyquist_us,-50)</f>
        <v>-98.470325397914564</v>
      </c>
      <c r="J44" s="3">
        <f>10*LOG10(POWER(10,Tx_power_ds/10)/F_Nyquist_ds)+IF(Masks[[#This Row],[f]]&gt;F_Nyquist_ds,-50)</f>
        <v>-98.470325397914564</v>
      </c>
      <c r="K44" s="3">
        <f>IF(Masks[[#This Row],[f]]&gt;F_Nyquist_us,0,1)</f>
        <v>1</v>
      </c>
      <c r="L44" s="3">
        <f>IF(Masks[[#This Row],[f]]&gt;F_Nyquist_ds,0,1)</f>
        <v>1</v>
      </c>
      <c r="M44" s="3">
        <f>Config!B$7</f>
        <v>-40</v>
      </c>
      <c r="N44" s="3">
        <f>IF(Config!B$8&gt;0,10*LOG10($T$1*Masks[[#This Row],[f]]+Config!B$8*0.00073),-1000)</f>
        <v>-14.459350445053595</v>
      </c>
      <c r="O44" s="3">
        <f>10*LOG10((10^(Masks[[#This Row],[wire_echo]]/10))+(10^(Masks[[#This Row],[connector_echo]]/10)))</f>
        <v>-14.447241292306822</v>
      </c>
      <c r="P44" s="65"/>
      <c r="Q44" s="65"/>
    </row>
    <row r="45" spans="1:17" x14ac:dyDescent="0.25">
      <c r="A45" s="2">
        <v>-98.470325397914564</v>
      </c>
      <c r="B45" s="2">
        <v>-98.470325397914564</v>
      </c>
      <c r="D45">
        <f>Calculate[[#This Row],[Freq]]</f>
        <v>1980000000</v>
      </c>
      <c r="E45" s="2">
        <f>MIN(-90, -89-Masks[[#This Row],[f]]/(600000000*S_ch_us),-82-Masks[[#This Row],[f]]/(250000000*S_ch_us))-K_ch_UPSD_us</f>
        <v>-94.299400086720368</v>
      </c>
      <c r="F45" s="2">
        <f>MIN(-90, -89-Masks[[#This Row],[f]]/(600000000*S_ch_ds),-82-Masks[[#This Row],[f]]/(250000000*S_ch_ds))-K_ch_UPSD_ds</f>
        <v>-94.299400086720368</v>
      </c>
      <c r="G45">
        <f>-MAX(MIN(20,20-10*LOG10(2*Masks[[#This Row],[f]]/480000000)),12-3)</f>
        <v>-10.835460514500749</v>
      </c>
      <c r="H45">
        <f>-MAX(MIN(20,20-10*LOG10(2*Masks[[#This Row],[f]]/480000000)),12-3)</f>
        <v>-10.835460514500749</v>
      </c>
      <c r="I45">
        <f>10*LOG10(POWER(10,Tx_power_us/10)/F_Nyquist_us)+IF(Masks[[#This Row],[f]]&gt;F_Nyquist_us,-50)</f>
        <v>-98.470325397914564</v>
      </c>
      <c r="J45" s="3">
        <f>10*LOG10(POWER(10,Tx_power_ds/10)/F_Nyquist_ds)+IF(Masks[[#This Row],[f]]&gt;F_Nyquist_ds,-50)</f>
        <v>-98.470325397914564</v>
      </c>
      <c r="K45" s="3">
        <f>IF(Masks[[#This Row],[f]]&gt;F_Nyquist_us,0,1)</f>
        <v>1</v>
      </c>
      <c r="L45" s="3">
        <f>IF(Masks[[#This Row],[f]]&gt;F_Nyquist_ds,0,1)</f>
        <v>1</v>
      </c>
      <c r="M45" s="3">
        <f>Config!B$7</f>
        <v>-40</v>
      </c>
      <c r="N45" s="3">
        <f>IF(Config!B$8&gt;0,10*LOG10($T$1*Masks[[#This Row],[f]]+Config!B$8*0.00073),-1000)</f>
        <v>-14.367562988596021</v>
      </c>
      <c r="O45" s="3">
        <f>10*LOG10((10^(Masks[[#This Row],[wire_echo]]/10))+(10^(Masks[[#This Row],[connector_echo]]/10)))</f>
        <v>-14.355706730020168</v>
      </c>
      <c r="P45" s="65"/>
      <c r="Q45" s="65"/>
    </row>
    <row r="46" spans="1:17" x14ac:dyDescent="0.25">
      <c r="A46" s="2">
        <v>-98.470325397914564</v>
      </c>
      <c r="B46" s="2">
        <v>-98.470325397914564</v>
      </c>
      <c r="D46">
        <f>Calculate[[#This Row],[Freq]]</f>
        <v>2025000000</v>
      </c>
      <c r="E46" s="2">
        <f>MIN(-90, -89-Masks[[#This Row],[f]]/(600000000*S_ch_us),-82-Masks[[#This Row],[f]]/(250000000*S_ch_us))-K_ch_UPSD_us</f>
        <v>-94.329400086720369</v>
      </c>
      <c r="F46" s="2">
        <f>MIN(-90, -89-Masks[[#This Row],[f]]/(600000000*S_ch_ds),-82-Masks[[#This Row],[f]]/(250000000*S_ch_ds))-K_ch_UPSD_ds</f>
        <v>-94.329400086720369</v>
      </c>
      <c r="G46">
        <f>-MAX(MIN(20,20-10*LOG10(2*Masks[[#This Row],[f]]/480000000)),12-3)</f>
        <v>-10.737862141609186</v>
      </c>
      <c r="H46">
        <f>-MAX(MIN(20,20-10*LOG10(2*Masks[[#This Row],[f]]/480000000)),12-3)</f>
        <v>-10.737862141609186</v>
      </c>
      <c r="I46">
        <f>10*LOG10(POWER(10,Tx_power_us/10)/F_Nyquist_us)+IF(Masks[[#This Row],[f]]&gt;F_Nyquist_us,-50)</f>
        <v>-98.470325397914564</v>
      </c>
      <c r="J46" s="3">
        <f>10*LOG10(POWER(10,Tx_power_ds/10)/F_Nyquist_ds)+IF(Masks[[#This Row],[f]]&gt;F_Nyquist_ds,-50)</f>
        <v>-98.470325397914564</v>
      </c>
      <c r="K46" s="3">
        <f>IF(Masks[[#This Row],[f]]&gt;F_Nyquist_us,0,1)</f>
        <v>1</v>
      </c>
      <c r="L46" s="3">
        <f>IF(Masks[[#This Row],[f]]&gt;F_Nyquist_ds,0,1)</f>
        <v>1</v>
      </c>
      <c r="M46" s="3">
        <f>Config!B$7</f>
        <v>-40</v>
      </c>
      <c r="N46" s="3">
        <f>IF(Config!B$8&gt;0,10*LOG10($T$1*Masks[[#This Row],[f]]+Config!B$8*0.00073),-1000)</f>
        <v>-14.277675362252545</v>
      </c>
      <c r="O46" s="3">
        <f>10*LOG10((10^(Masks[[#This Row],[wire_echo]]/10))+(10^(Masks[[#This Row],[connector_echo]]/10)))</f>
        <v>-14.266061650774793</v>
      </c>
      <c r="P46" s="65"/>
      <c r="Q46" s="65"/>
    </row>
    <row r="47" spans="1:17" x14ac:dyDescent="0.25">
      <c r="A47" s="2">
        <v>-98.470325397914564</v>
      </c>
      <c r="B47" s="2">
        <v>-98.470325397914564</v>
      </c>
      <c r="D47">
        <f>Calculate[[#This Row],[Freq]]</f>
        <v>2070000000</v>
      </c>
      <c r="E47" s="2">
        <f>MIN(-90, -89-Masks[[#This Row],[f]]/(600000000*S_ch_us),-82-Masks[[#This Row],[f]]/(250000000*S_ch_us))-K_ch_UPSD_us</f>
        <v>-94.35940008672037</v>
      </c>
      <c r="F47" s="2">
        <f>MIN(-90, -89-Masks[[#This Row],[f]]/(600000000*S_ch_ds),-82-Masks[[#This Row],[f]]/(250000000*S_ch_ds))-K_ch_UPSD_ds</f>
        <v>-94.35940008672037</v>
      </c>
      <c r="G47">
        <f>-MAX(MIN(20,20-10*LOG10(2*Masks[[#This Row],[f]]/480000000)),12-3)</f>
        <v>-10.642408962546883</v>
      </c>
      <c r="H47">
        <f>-MAX(MIN(20,20-10*LOG10(2*Masks[[#This Row],[f]]/480000000)),12-3)</f>
        <v>-10.642408962546883</v>
      </c>
      <c r="I47">
        <f>10*LOG10(POWER(10,Tx_power_us/10)/F_Nyquist_us)+IF(Masks[[#This Row],[f]]&gt;F_Nyquist_us,-50)</f>
        <v>-98.470325397914564</v>
      </c>
      <c r="J47" s="3">
        <f>10*LOG10(POWER(10,Tx_power_ds/10)/F_Nyquist_ds)+IF(Masks[[#This Row],[f]]&gt;F_Nyquist_ds,-50)</f>
        <v>-98.470325397914564</v>
      </c>
      <c r="K47" s="3">
        <f>IF(Masks[[#This Row],[f]]&gt;F_Nyquist_us,0,1)</f>
        <v>1</v>
      </c>
      <c r="L47" s="3">
        <f>IF(Masks[[#This Row],[f]]&gt;F_Nyquist_ds,0,1)</f>
        <v>1</v>
      </c>
      <c r="M47" s="3">
        <f>Config!B$7</f>
        <v>-40</v>
      </c>
      <c r="N47" s="3">
        <f>IF(Config!B$8&gt;0,10*LOG10($T$1*Masks[[#This Row],[f]]+Config!B$8*0.00073),-1000)</f>
        <v>-14.189610512278328</v>
      </c>
      <c r="O47" s="3">
        <f>10*LOG10((10^(Masks[[#This Row],[wire_echo]]/10))+(10^(Masks[[#This Row],[connector_echo]]/10)))</f>
        <v>-14.178229623115913</v>
      </c>
      <c r="P47" s="65"/>
      <c r="Q47" s="65"/>
    </row>
    <row r="48" spans="1:17" x14ac:dyDescent="0.25">
      <c r="A48" s="2">
        <v>-98.470325397914564</v>
      </c>
      <c r="B48" s="2">
        <v>-98.470325397914564</v>
      </c>
      <c r="D48">
        <f>Calculate[[#This Row],[Freq]]</f>
        <v>2115000000</v>
      </c>
      <c r="E48" s="2">
        <f>MIN(-90, -89-Masks[[#This Row],[f]]/(600000000*S_ch_us),-82-Masks[[#This Row],[f]]/(250000000*S_ch_us))-K_ch_UPSD_us</f>
        <v>-94.389400086720372</v>
      </c>
      <c r="F48" s="2">
        <f>MIN(-90, -89-Masks[[#This Row],[f]]/(600000000*S_ch_ds),-82-Masks[[#This Row],[f]]/(250000000*S_ch_ds))-K_ch_UPSD_ds</f>
        <v>-94.389400086720372</v>
      </c>
      <c r="G48">
        <f>-MAX(MIN(20,20-10*LOG10(2*Masks[[#This Row],[f]]/480000000)),12-3)</f>
        <v>-10.549008700005448</v>
      </c>
      <c r="H48">
        <f>-MAX(MIN(20,20-10*LOG10(2*Masks[[#This Row],[f]]/480000000)),12-3)</f>
        <v>-10.549008700005448</v>
      </c>
      <c r="I48">
        <f>10*LOG10(POWER(10,Tx_power_us/10)/F_Nyquist_us)+IF(Masks[[#This Row],[f]]&gt;F_Nyquist_us,-50)</f>
        <v>-98.470325397914564</v>
      </c>
      <c r="J48" s="3">
        <f>10*LOG10(POWER(10,Tx_power_ds/10)/F_Nyquist_ds)+IF(Masks[[#This Row],[f]]&gt;F_Nyquist_ds,-50)</f>
        <v>-98.470325397914564</v>
      </c>
      <c r="K48" s="3">
        <f>IF(Masks[[#This Row],[f]]&gt;F_Nyquist_us,0,1)</f>
        <v>1</v>
      </c>
      <c r="L48" s="3">
        <f>IF(Masks[[#This Row],[f]]&gt;F_Nyquist_ds,0,1)</f>
        <v>1</v>
      </c>
      <c r="M48" s="3">
        <f>Config!B$7</f>
        <v>-40</v>
      </c>
      <c r="N48" s="3">
        <f>IF(Config!B$8&gt;0,10*LOG10($T$1*Masks[[#This Row],[f]]+Config!B$8*0.00073),-1000)</f>
        <v>-14.10329597965106</v>
      </c>
      <c r="O48" s="3">
        <f>10*LOG10((10^(Masks[[#This Row],[wire_echo]]/10))+(10^(Masks[[#This Row],[connector_echo]]/10)))</f>
        <v>-14.092138761391208</v>
      </c>
      <c r="P48" s="65"/>
      <c r="Q48" s="65"/>
    </row>
    <row r="49" spans="1:17" x14ac:dyDescent="0.25">
      <c r="A49" s="2">
        <v>-98.470325397914564</v>
      </c>
      <c r="B49" s="2">
        <v>-98.470325397914564</v>
      </c>
      <c r="D49">
        <f>Calculate[[#This Row],[Freq]]</f>
        <v>2160000000</v>
      </c>
      <c r="E49" s="2">
        <f>MIN(-90, -89-Masks[[#This Row],[f]]/(600000000*S_ch_us),-82-Masks[[#This Row],[f]]/(250000000*S_ch_us))-K_ch_UPSD_us</f>
        <v>-94.419400086720373</v>
      </c>
      <c r="F49" s="2">
        <f>MIN(-90, -89-Masks[[#This Row],[f]]/(600000000*S_ch_ds),-82-Masks[[#This Row],[f]]/(250000000*S_ch_ds))-K_ch_UPSD_ds</f>
        <v>-94.419400086720373</v>
      </c>
      <c r="G49">
        <f>-MAX(MIN(20,20-10*LOG10(2*Masks[[#This Row],[f]]/480000000)),12-3)</f>
        <v>-10.457574905606752</v>
      </c>
      <c r="H49">
        <f>-MAX(MIN(20,20-10*LOG10(2*Masks[[#This Row],[f]]/480000000)),12-3)</f>
        <v>-10.457574905606752</v>
      </c>
      <c r="I49">
        <f>10*LOG10(POWER(10,Tx_power_us/10)/F_Nyquist_us)+IF(Masks[[#This Row],[f]]&gt;F_Nyquist_us,-50)</f>
        <v>-98.470325397914564</v>
      </c>
      <c r="J49" s="3">
        <f>10*LOG10(POWER(10,Tx_power_ds/10)/F_Nyquist_ds)+IF(Masks[[#This Row],[f]]&gt;F_Nyquist_ds,-50)</f>
        <v>-98.470325397914564</v>
      </c>
      <c r="K49" s="3">
        <f>IF(Masks[[#This Row],[f]]&gt;F_Nyquist_us,0,1)</f>
        <v>1</v>
      </c>
      <c r="L49" s="3">
        <f>IF(Masks[[#This Row],[f]]&gt;F_Nyquist_ds,0,1)</f>
        <v>1</v>
      </c>
      <c r="M49" s="3">
        <f>Config!B$7</f>
        <v>-40</v>
      </c>
      <c r="N49" s="3">
        <f>IF(Config!B$8&gt;0,10*LOG10($T$1*Masks[[#This Row],[f]]+Config!B$8*0.00073),-1000)</f>
        <v>-14.018663541867625</v>
      </c>
      <c r="O49" s="3">
        <f>10*LOG10((10^(Masks[[#This Row],[wire_echo]]/10))+(10^(Masks[[#This Row],[connector_echo]]/10)))</f>
        <v>-14.007721372262038</v>
      </c>
      <c r="P49" s="65"/>
      <c r="Q49" s="65"/>
    </row>
    <row r="50" spans="1:17" x14ac:dyDescent="0.25">
      <c r="A50" s="2">
        <v>-98.470325397914564</v>
      </c>
      <c r="B50" s="2">
        <v>-98.470325397914564</v>
      </c>
      <c r="D50">
        <f>Calculate[[#This Row],[Freq]]</f>
        <v>2205000000</v>
      </c>
      <c r="E50" s="2">
        <f>MIN(-90, -89-Masks[[#This Row],[f]]/(600000000*S_ch_us),-82-Masks[[#This Row],[f]]/(250000000*S_ch_us))-K_ch_UPSD_us</f>
        <v>-94.449400086720374</v>
      </c>
      <c r="F50" s="2">
        <f>MIN(-90, -89-Masks[[#This Row],[f]]/(600000000*S_ch_ds),-82-Masks[[#This Row],[f]]/(250000000*S_ch_ds))-K_ch_UPSD_ds</f>
        <v>-94.449400086720374</v>
      </c>
      <c r="G50">
        <f>-MAX(MIN(20,20-10*LOG10(2*Masks[[#This Row],[f]]/480000000)),12-3)</f>
        <v>-10.368026479077487</v>
      </c>
      <c r="H50">
        <f>-MAX(MIN(20,20-10*LOG10(2*Masks[[#This Row],[f]]/480000000)),12-3)</f>
        <v>-10.368026479077487</v>
      </c>
      <c r="I50">
        <f>10*LOG10(POWER(10,Tx_power_us/10)/F_Nyquist_us)+IF(Masks[[#This Row],[f]]&gt;F_Nyquist_us,-50)</f>
        <v>-98.470325397914564</v>
      </c>
      <c r="J50" s="3">
        <f>10*LOG10(POWER(10,Tx_power_ds/10)/F_Nyquist_ds)+IF(Masks[[#This Row],[f]]&gt;F_Nyquist_ds,-50)</f>
        <v>-98.470325397914564</v>
      </c>
      <c r="K50" s="3">
        <f>IF(Masks[[#This Row],[f]]&gt;F_Nyquist_us,0,1)</f>
        <v>1</v>
      </c>
      <c r="L50" s="3">
        <f>IF(Masks[[#This Row],[f]]&gt;F_Nyquist_ds,0,1)</f>
        <v>1</v>
      </c>
      <c r="M50" s="3">
        <f>Config!B$7</f>
        <v>-40</v>
      </c>
      <c r="N50" s="3">
        <f>IF(Config!B$8&gt;0,10*LOG10($T$1*Masks[[#This Row],[f]]+Config!B$8*0.00073),-1000)</f>
        <v>-13.935648888981252</v>
      </c>
      <c r="O50" s="3">
        <f>10*LOG10((10^(Masks[[#This Row],[wire_echo]]/10))+(10^(Masks[[#This Row],[connector_echo]]/10)))</f>
        <v>-13.92491363492022</v>
      </c>
      <c r="P50" s="65"/>
      <c r="Q50" s="65"/>
    </row>
    <row r="51" spans="1:17" x14ac:dyDescent="0.25">
      <c r="A51" s="2">
        <v>-98.470325397914564</v>
      </c>
      <c r="B51" s="2">
        <v>-98.470325397914564</v>
      </c>
      <c r="D51">
        <f>Calculate[[#This Row],[Freq]]</f>
        <v>2250000000</v>
      </c>
      <c r="E51" s="2">
        <f>MIN(-90, -89-Masks[[#This Row],[f]]/(600000000*S_ch_us),-82-Masks[[#This Row],[f]]/(250000000*S_ch_us))-K_ch_UPSD_us</f>
        <v>-94.479400086720375</v>
      </c>
      <c r="F51" s="2">
        <f>MIN(-90, -89-Masks[[#This Row],[f]]/(600000000*S_ch_ds),-82-Masks[[#This Row],[f]]/(250000000*S_ch_ds))-K_ch_UPSD_ds</f>
        <v>-94.479400086720375</v>
      </c>
      <c r="G51">
        <f>-MAX(MIN(20,20-10*LOG10(2*Masks[[#This Row],[f]]/480000000)),12-3)</f>
        <v>-10.280287236002435</v>
      </c>
      <c r="H51">
        <f>-MAX(MIN(20,20-10*LOG10(2*Masks[[#This Row],[f]]/480000000)),12-3)</f>
        <v>-10.280287236002435</v>
      </c>
      <c r="I51">
        <f>10*LOG10(POWER(10,Tx_power_us/10)/F_Nyquist_us)+IF(Masks[[#This Row],[f]]&gt;F_Nyquist_us,-50)</f>
        <v>-98.470325397914564</v>
      </c>
      <c r="J51" s="3">
        <f>10*LOG10(POWER(10,Tx_power_ds/10)/F_Nyquist_ds)+IF(Masks[[#This Row],[f]]&gt;F_Nyquist_ds,-50)</f>
        <v>-98.470325397914564</v>
      </c>
      <c r="K51" s="3">
        <f>IF(Masks[[#This Row],[f]]&gt;F_Nyquist_us,0,1)</f>
        <v>1</v>
      </c>
      <c r="L51" s="3">
        <f>IF(Masks[[#This Row],[f]]&gt;F_Nyquist_ds,0,1)</f>
        <v>1</v>
      </c>
      <c r="M51" s="3">
        <f>Config!B$7</f>
        <v>-40</v>
      </c>
      <c r="N51" s="3">
        <f>IF(Config!B$8&gt;0,10*LOG10($T$1*Masks[[#This Row],[f]]+Config!B$8*0.00073),-1000)</f>
        <v>-13.854191330025142</v>
      </c>
      <c r="O51" s="3">
        <f>10*LOG10((10^(Masks[[#This Row],[wire_echo]]/10))+(10^(Masks[[#This Row],[connector_echo]]/10)))</f>
        <v>-13.843655311225845</v>
      </c>
      <c r="P51" s="65"/>
      <c r="Q51" s="65"/>
    </row>
    <row r="52" spans="1:17" x14ac:dyDescent="0.25">
      <c r="A52" s="2">
        <v>-98.470325397914564</v>
      </c>
      <c r="B52" s="2">
        <v>-98.470325397914564</v>
      </c>
      <c r="D52">
        <f>Calculate[[#This Row],[Freq]]</f>
        <v>2295000000</v>
      </c>
      <c r="E52" s="2">
        <f>MIN(-90, -89-Masks[[#This Row],[f]]/(600000000*S_ch_us),-82-Masks[[#This Row],[f]]/(250000000*S_ch_us))-K_ch_UPSD_us</f>
        <v>-94.509400086720376</v>
      </c>
      <c r="F52" s="2">
        <f>MIN(-90, -89-Masks[[#This Row],[f]]/(600000000*S_ch_ds),-82-Masks[[#This Row],[f]]/(250000000*S_ch_ds))-K_ch_UPSD_ds</f>
        <v>-94.509400086720376</v>
      </c>
      <c r="G52">
        <f>-MAX(MIN(20,20-10*LOG10(2*Masks[[#This Row],[f]]/480000000)),12-3)</f>
        <v>-10.194285518383259</v>
      </c>
      <c r="H52">
        <f>-MAX(MIN(20,20-10*LOG10(2*Masks[[#This Row],[f]]/480000000)),12-3)</f>
        <v>-10.194285518383259</v>
      </c>
      <c r="I52">
        <f>10*LOG10(POWER(10,Tx_power_us/10)/F_Nyquist_us)+IF(Masks[[#This Row],[f]]&gt;F_Nyquist_us,-50)</f>
        <v>-98.470325397914564</v>
      </c>
      <c r="J52" s="3">
        <f>10*LOG10(POWER(10,Tx_power_ds/10)/F_Nyquist_ds)+IF(Masks[[#This Row],[f]]&gt;F_Nyquist_ds,-50)</f>
        <v>-98.470325397914564</v>
      </c>
      <c r="K52" s="3">
        <f>IF(Masks[[#This Row],[f]]&gt;F_Nyquist_us,0,1)</f>
        <v>1</v>
      </c>
      <c r="L52" s="3">
        <f>IF(Masks[[#This Row],[f]]&gt;F_Nyquist_ds,0,1)</f>
        <v>1</v>
      </c>
      <c r="M52" s="3">
        <f>Config!B$7</f>
        <v>-40</v>
      </c>
      <c r="N52" s="3">
        <f>IF(Config!B$8&gt;0,10*LOG10($T$1*Masks[[#This Row],[f]]+Config!B$8*0.00073),-1000)</f>
        <v>-13.77423352646522</v>
      </c>
      <c r="O52" s="3">
        <f>10*LOG10((10^(Masks[[#This Row],[wire_echo]]/10))+(10^(Masks[[#This Row],[connector_echo]]/10)))</f>
        <v>-13.763889482468185</v>
      </c>
      <c r="P52" s="65"/>
      <c r="Q52" s="65"/>
    </row>
    <row r="53" spans="1:17" x14ac:dyDescent="0.25">
      <c r="A53" s="2">
        <v>-98.470325397914564</v>
      </c>
      <c r="B53" s="2">
        <v>-98.470325397914564</v>
      </c>
      <c r="D53">
        <f>Calculate[[#This Row],[Freq]]</f>
        <v>2340000000</v>
      </c>
      <c r="E53" s="2">
        <f>MIN(-90, -89-Masks[[#This Row],[f]]/(600000000*S_ch_us),-82-Masks[[#This Row],[f]]/(250000000*S_ch_us))-K_ch_UPSD_us</f>
        <v>-94.539400086720377</v>
      </c>
      <c r="F53" s="2">
        <f>MIN(-90, -89-Masks[[#This Row],[f]]/(600000000*S_ch_ds),-82-Masks[[#This Row],[f]]/(250000000*S_ch_ds))-K_ch_UPSD_ds</f>
        <v>-94.539400086720377</v>
      </c>
      <c r="G53">
        <f>-MAX(MIN(20,20-10*LOG10(2*Masks[[#This Row],[f]]/480000000)),12-3)</f>
        <v>-10.109953843014631</v>
      </c>
      <c r="H53">
        <f>-MAX(MIN(20,20-10*LOG10(2*Masks[[#This Row],[f]]/480000000)),12-3)</f>
        <v>-10.109953843014631</v>
      </c>
      <c r="I53">
        <f>10*LOG10(POWER(10,Tx_power_us/10)/F_Nyquist_us)+IF(Masks[[#This Row],[f]]&gt;F_Nyquist_us,-50)</f>
        <v>-98.470325397914564</v>
      </c>
      <c r="J53" s="3">
        <f>10*LOG10(POWER(10,Tx_power_ds/10)/F_Nyquist_ds)+IF(Masks[[#This Row],[f]]&gt;F_Nyquist_ds,-50)</f>
        <v>-98.470325397914564</v>
      </c>
      <c r="K53" s="3">
        <f>IF(Masks[[#This Row],[f]]&gt;F_Nyquist_us,0,1)</f>
        <v>1</v>
      </c>
      <c r="L53" s="3">
        <f>IF(Masks[[#This Row],[f]]&gt;F_Nyquist_ds,0,1)</f>
        <v>1</v>
      </c>
      <c r="M53" s="3">
        <f>Config!B$7</f>
        <v>-40</v>
      </c>
      <c r="N53" s="3">
        <f>IF(Config!B$8&gt;0,10*LOG10($T$1*Masks[[#This Row],[f]]+Config!B$8*0.00073),-1000)</f>
        <v>-13.695721249749761</v>
      </c>
      <c r="O53" s="3">
        <f>10*LOG10((10^(Masks[[#This Row],[wire_echo]]/10))+(10^(Masks[[#This Row],[connector_echo]]/10)))</f>
        <v>-13.685562309868279</v>
      </c>
      <c r="P53" s="65"/>
      <c r="Q53" s="65"/>
    </row>
    <row r="54" spans="1:17" x14ac:dyDescent="0.25">
      <c r="A54" s="2">
        <v>-98.470325397914564</v>
      </c>
      <c r="B54" s="2">
        <v>-98.470325397914564</v>
      </c>
      <c r="D54">
        <f>Calculate[[#This Row],[Freq]]</f>
        <v>2385000000</v>
      </c>
      <c r="E54" s="2">
        <f>MIN(-90, -89-Masks[[#This Row],[f]]/(600000000*S_ch_us),-82-Masks[[#This Row],[f]]/(250000000*S_ch_us))-K_ch_UPSD_us</f>
        <v>-94.569400086720378</v>
      </c>
      <c r="F54" s="2">
        <f>MIN(-90, -89-Masks[[#This Row],[f]]/(600000000*S_ch_ds),-82-Masks[[#This Row],[f]]/(250000000*S_ch_ds))-K_ch_UPSD_ds</f>
        <v>-94.569400086720378</v>
      </c>
      <c r="G54">
        <f>-MAX(MIN(20,20-10*LOG10(2*Masks[[#This Row],[f]]/480000000)),12-3)</f>
        <v>-10.027228583354733</v>
      </c>
      <c r="H54">
        <f>-MAX(MIN(20,20-10*LOG10(2*Masks[[#This Row],[f]]/480000000)),12-3)</f>
        <v>-10.027228583354733</v>
      </c>
      <c r="I54">
        <f>10*LOG10(POWER(10,Tx_power_us/10)/F_Nyquist_us)+IF(Masks[[#This Row],[f]]&gt;F_Nyquist_us,-50)</f>
        <v>-98.470325397914564</v>
      </c>
      <c r="J54" s="3">
        <f>10*LOG10(POWER(10,Tx_power_ds/10)/F_Nyquist_ds)+IF(Masks[[#This Row],[f]]&gt;F_Nyquist_ds,-50)</f>
        <v>-98.470325397914564</v>
      </c>
      <c r="K54" s="3">
        <f>IF(Masks[[#This Row],[f]]&gt;F_Nyquist_us,0,1)</f>
        <v>1</v>
      </c>
      <c r="L54" s="3">
        <f>IF(Masks[[#This Row],[f]]&gt;F_Nyquist_ds,0,1)</f>
        <v>1</v>
      </c>
      <c r="M54" s="3">
        <f>Config!B$7</f>
        <v>-40</v>
      </c>
      <c r="N54" s="3">
        <f>IF(Config!B$8&gt;0,10*LOG10($T$1*Masks[[#This Row],[f]]+Config!B$8*0.00073),-1000)</f>
        <v>-13.618603160388039</v>
      </c>
      <c r="O54" s="3">
        <f>10*LOG10((10^(Masks[[#This Row],[wire_echo]]/10))+(10^(Masks[[#This Row],[connector_echo]]/10)))</f>
        <v>-13.608622816299063</v>
      </c>
      <c r="P54" s="65"/>
      <c r="Q54" s="65"/>
    </row>
    <row r="55" spans="1:17" x14ac:dyDescent="0.25">
      <c r="A55" s="2">
        <v>-98.470325397914564</v>
      </c>
      <c r="B55" s="2">
        <v>-98.470325397914564</v>
      </c>
      <c r="D55">
        <f>Calculate[[#This Row],[Freq]]</f>
        <v>2430000000</v>
      </c>
      <c r="E55" s="2">
        <f>MIN(-90, -89-Masks[[#This Row],[f]]/(600000000*S_ch_us),-82-Masks[[#This Row],[f]]/(250000000*S_ch_us))-K_ch_UPSD_us</f>
        <v>-94.599400086720379</v>
      </c>
      <c r="F55" s="2">
        <f>MIN(-90, -89-Masks[[#This Row],[f]]/(600000000*S_ch_ds),-82-Masks[[#This Row],[f]]/(250000000*S_ch_ds))-K_ch_UPSD_ds</f>
        <v>-94.599400086720379</v>
      </c>
      <c r="G55">
        <f>-MAX(MIN(20,20-10*LOG10(2*Masks[[#This Row],[f]]/480000000)),12-3)</f>
        <v>-9.9460496811329371</v>
      </c>
      <c r="H55">
        <f>-MAX(MIN(20,20-10*LOG10(2*Masks[[#This Row],[f]]/480000000)),12-3)</f>
        <v>-9.9460496811329371</v>
      </c>
      <c r="I55">
        <f>10*LOG10(POWER(10,Tx_power_us/10)/F_Nyquist_us)+IF(Masks[[#This Row],[f]]&gt;F_Nyquist_us,-50)</f>
        <v>-98.470325397914564</v>
      </c>
      <c r="J55" s="3">
        <f>10*LOG10(POWER(10,Tx_power_ds/10)/F_Nyquist_ds)+IF(Masks[[#This Row],[f]]&gt;F_Nyquist_ds,-50)</f>
        <v>-98.470325397914564</v>
      </c>
      <c r="K55" s="3">
        <f>IF(Masks[[#This Row],[f]]&gt;F_Nyquist_us,0,1)</f>
        <v>1</v>
      </c>
      <c r="L55" s="3">
        <f>IF(Masks[[#This Row],[f]]&gt;F_Nyquist_ds,0,1)</f>
        <v>1</v>
      </c>
      <c r="M55" s="3">
        <f>Config!B$7</f>
        <v>-40</v>
      </c>
      <c r="N55" s="3">
        <f>IF(Config!B$8&gt;0,10*LOG10($T$1*Masks[[#This Row],[f]]+Config!B$8*0.00073),-1000)</f>
        <v>-13.542830606303962</v>
      </c>
      <c r="O55" s="3">
        <f>10*LOG10((10^(Masks[[#This Row],[wire_echo]]/10))+(10^(Masks[[#This Row],[connector_echo]]/10)))</f>
        <v>-13.533022687006655</v>
      </c>
      <c r="P55" s="65"/>
      <c r="Q55" s="65"/>
    </row>
    <row r="56" spans="1:17" x14ac:dyDescent="0.25">
      <c r="A56" s="2">
        <v>-98.470325397914564</v>
      </c>
      <c r="B56" s="2">
        <v>-98.470325397914564</v>
      </c>
      <c r="D56">
        <f>Calculate[[#This Row],[Freq]]</f>
        <v>2475000000</v>
      </c>
      <c r="E56" s="2">
        <f>MIN(-90, -89-Masks[[#This Row],[f]]/(600000000*S_ch_us),-82-Masks[[#This Row],[f]]/(250000000*S_ch_us))-K_ch_UPSD_us</f>
        <v>-94.629400086720381</v>
      </c>
      <c r="F56" s="2">
        <f>MIN(-90, -89-Masks[[#This Row],[f]]/(600000000*S_ch_ds),-82-Masks[[#This Row],[f]]/(250000000*S_ch_ds))-K_ch_UPSD_ds</f>
        <v>-94.629400086720381</v>
      </c>
      <c r="G56">
        <f>-MAX(MIN(20,20-10*LOG10(2*Masks[[#This Row],[f]]/480000000)),12-3)</f>
        <v>-9.8663603844201848</v>
      </c>
      <c r="H56">
        <f>-MAX(MIN(20,20-10*LOG10(2*Masks[[#This Row],[f]]/480000000)),12-3)</f>
        <v>-9.8663603844201848</v>
      </c>
      <c r="I56">
        <f>10*LOG10(POWER(10,Tx_power_us/10)/F_Nyquist_us)+IF(Masks[[#This Row],[f]]&gt;F_Nyquist_us,-50)</f>
        <v>-98.470325397914564</v>
      </c>
      <c r="J56" s="3">
        <f>10*LOG10(POWER(10,Tx_power_ds/10)/F_Nyquist_ds)+IF(Masks[[#This Row],[f]]&gt;F_Nyquist_ds,-50)</f>
        <v>-98.470325397914564</v>
      </c>
      <c r="K56" s="3">
        <f>IF(Masks[[#This Row],[f]]&gt;F_Nyquist_us,0,1)</f>
        <v>1</v>
      </c>
      <c r="L56" s="3">
        <f>IF(Masks[[#This Row],[f]]&gt;F_Nyquist_ds,0,1)</f>
        <v>1</v>
      </c>
      <c r="M56" s="3">
        <f>Config!B$7</f>
        <v>-40</v>
      </c>
      <c r="N56" s="3">
        <f>IF(Config!B$8&gt;0,10*LOG10($T$1*Masks[[#This Row],[f]]+Config!B$8*0.00073),-1000)</f>
        <v>-13.468357438481187</v>
      </c>
      <c r="O56" s="3">
        <f>10*LOG10((10^(Masks[[#This Row],[wire_echo]]/10))+(10^(Masks[[#This Row],[connector_echo]]/10)))</f>
        <v>-13.458716087381875</v>
      </c>
      <c r="P56" s="65"/>
      <c r="Q56" s="65"/>
    </row>
    <row r="57" spans="1:17" x14ac:dyDescent="0.25">
      <c r="A57" s="2">
        <v>-98.470325397914564</v>
      </c>
      <c r="B57" s="2">
        <v>-98.470325397914564</v>
      </c>
      <c r="D57">
        <f>Calculate[[#This Row],[Freq]]</f>
        <v>2520000000</v>
      </c>
      <c r="E57" s="2">
        <f>MIN(-90, -89-Masks[[#This Row],[f]]/(600000000*S_ch_us),-82-Masks[[#This Row],[f]]/(250000000*S_ch_us))-K_ch_UPSD_us</f>
        <v>-94.659400086720382</v>
      </c>
      <c r="F57" s="2">
        <f>MIN(-90, -89-Masks[[#This Row],[f]]/(600000000*S_ch_ds),-82-Masks[[#This Row],[f]]/(250000000*S_ch_ds))-K_ch_UPSD_ds</f>
        <v>-94.659400086720382</v>
      </c>
      <c r="G57">
        <f>-MAX(MIN(20,20-10*LOG10(2*Masks[[#This Row],[f]]/480000000)),12-3)</f>
        <v>-9.7881070093006191</v>
      </c>
      <c r="H57">
        <f>-MAX(MIN(20,20-10*LOG10(2*Masks[[#This Row],[f]]/480000000)),12-3)</f>
        <v>-9.7881070093006191</v>
      </c>
      <c r="I57">
        <f>10*LOG10(POWER(10,Tx_power_us/10)/F_Nyquist_us)+IF(Masks[[#This Row],[f]]&gt;F_Nyquist_us,-50)</f>
        <v>-98.470325397914564</v>
      </c>
      <c r="J57" s="3">
        <f>10*LOG10(POWER(10,Tx_power_ds/10)/F_Nyquist_ds)+IF(Masks[[#This Row],[f]]&gt;F_Nyquist_ds,-50)</f>
        <v>-98.470325397914564</v>
      </c>
      <c r="K57" s="3">
        <f>IF(Masks[[#This Row],[f]]&gt;F_Nyquist_us,0,1)</f>
        <v>1</v>
      </c>
      <c r="L57" s="3">
        <f>IF(Masks[[#This Row],[f]]&gt;F_Nyquist_ds,0,1)</f>
        <v>1</v>
      </c>
      <c r="M57" s="3">
        <f>Config!B$7</f>
        <v>-40</v>
      </c>
      <c r="N57" s="3">
        <f>IF(Config!B$8&gt;0,10*LOG10($T$1*Masks[[#This Row],[f]]+Config!B$8*0.00073),-1000)</f>
        <v>-13.395139842150323</v>
      </c>
      <c r="O57" s="3">
        <f>10*LOG10((10^(Masks[[#This Row],[wire_echo]]/10))+(10^(Masks[[#This Row],[connector_echo]]/10)))</f>
        <v>-13.385659496060802</v>
      </c>
      <c r="P57" s="65"/>
      <c r="Q57" s="65"/>
    </row>
    <row r="58" spans="1:17" x14ac:dyDescent="0.25">
      <c r="A58" s="2">
        <v>-98.470325397914564</v>
      </c>
      <c r="B58" s="2">
        <v>-98.470325397914564</v>
      </c>
      <c r="D58">
        <f>Calculate[[#This Row],[Freq]]</f>
        <v>2565000000</v>
      </c>
      <c r="E58" s="2">
        <f>MIN(-90, -89-Masks[[#This Row],[f]]/(600000000*S_ch_us),-82-Masks[[#This Row],[f]]/(250000000*S_ch_us))-K_ch_UPSD_us</f>
        <v>-94.689400086720369</v>
      </c>
      <c r="F58" s="2">
        <f>MIN(-90, -89-Masks[[#This Row],[f]]/(600000000*S_ch_ds),-82-Masks[[#This Row],[f]]/(250000000*S_ch_ds))-K_ch_UPSD_ds</f>
        <v>-94.689400086720369</v>
      </c>
      <c r="G58">
        <f>-MAX(MIN(20,20-10*LOG10(2*Masks[[#This Row],[f]]/480000000)),12-3)</f>
        <v>-9.7112387226377095</v>
      </c>
      <c r="H58">
        <f>-MAX(MIN(20,20-10*LOG10(2*Masks[[#This Row],[f]]/480000000)),12-3)</f>
        <v>-9.7112387226377095</v>
      </c>
      <c r="I58">
        <f>10*LOG10(POWER(10,Tx_power_us/10)/F_Nyquist_us)+IF(Masks[[#This Row],[f]]&gt;F_Nyquist_us,-50)</f>
        <v>-98.470325397914564</v>
      </c>
      <c r="J58" s="3">
        <f>10*LOG10(POWER(10,Tx_power_ds/10)/F_Nyquist_ds)+IF(Masks[[#This Row],[f]]&gt;F_Nyquist_ds,-50)</f>
        <v>-98.470325397914564</v>
      </c>
      <c r="K58" s="3">
        <f>IF(Masks[[#This Row],[f]]&gt;F_Nyquist_us,0,1)</f>
        <v>1</v>
      </c>
      <c r="L58" s="3">
        <f>IF(Masks[[#This Row],[f]]&gt;F_Nyquist_ds,0,1)</f>
        <v>1</v>
      </c>
      <c r="M58" s="3">
        <f>Config!B$7</f>
        <v>-40</v>
      </c>
      <c r="N58" s="3">
        <f>IF(Config!B$8&gt;0,10*LOG10($T$1*Masks[[#This Row],[f]]+Config!B$8*0.00073),-1000)</f>
        <v>-13.323136181971956</v>
      </c>
      <c r="O58" s="3">
        <f>10*LOG10((10^(Masks[[#This Row],[wire_echo]]/10))+(10^(Masks[[#This Row],[connector_echo]]/10)))</f>
        <v>-13.313811551832561</v>
      </c>
      <c r="P58" s="65"/>
      <c r="Q58" s="65"/>
    </row>
    <row r="59" spans="1:17" x14ac:dyDescent="0.25">
      <c r="A59" s="2">
        <v>-98.470325397914564</v>
      </c>
      <c r="B59" s="2">
        <v>-98.470325397914564</v>
      </c>
      <c r="D59">
        <f>Calculate[[#This Row],[Freq]]</f>
        <v>2610000000</v>
      </c>
      <c r="E59" s="2">
        <f>MIN(-90, -89-Masks[[#This Row],[f]]/(600000000*S_ch_us),-82-Masks[[#This Row],[f]]/(250000000*S_ch_us))-K_ch_UPSD_us</f>
        <v>-94.71940008672037</v>
      </c>
      <c r="F59" s="2">
        <f>MIN(-90, -89-Masks[[#This Row],[f]]/(600000000*S_ch_ds),-82-Masks[[#This Row],[f]]/(250000000*S_ch_ds))-K_ch_UPSD_ds</f>
        <v>-94.71940008672037</v>
      </c>
      <c r="G59">
        <f>-MAX(MIN(20,20-10*LOG10(2*Masks[[#This Row],[f]]/480000000)),12-3)</f>
        <v>-9.6357073437332517</v>
      </c>
      <c r="H59">
        <f>-MAX(MIN(20,20-10*LOG10(2*Masks[[#This Row],[f]]/480000000)),12-3)</f>
        <v>-9.6357073437332517</v>
      </c>
      <c r="I59">
        <f>10*LOG10(POWER(10,Tx_power_us/10)/F_Nyquist_us)+IF(Masks[[#This Row],[f]]&gt;F_Nyquist_us,-50)</f>
        <v>-98.470325397914564</v>
      </c>
      <c r="J59" s="3">
        <f>10*LOG10(POWER(10,Tx_power_ds/10)/F_Nyquist_ds)+IF(Masks[[#This Row],[f]]&gt;F_Nyquist_ds,-50)</f>
        <v>-98.470325397914564</v>
      </c>
      <c r="K59" s="3">
        <f>IF(Masks[[#This Row],[f]]&gt;F_Nyquist_us,0,1)</f>
        <v>1</v>
      </c>
      <c r="L59" s="3">
        <f>IF(Masks[[#This Row],[f]]&gt;F_Nyquist_ds,0,1)</f>
        <v>1</v>
      </c>
      <c r="M59" s="3">
        <f>Config!B$7</f>
        <v>-40</v>
      </c>
      <c r="N59" s="3">
        <f>IF(Config!B$8&gt;0,10*LOG10($T$1*Masks[[#This Row],[f]]+Config!B$8*0.00073),-1000)</f>
        <v>-13.252306859845737</v>
      </c>
      <c r="O59" s="3">
        <f>10*LOG10((10^(Masks[[#This Row],[wire_echo]]/10))+(10^(Masks[[#This Row],[connector_echo]]/10)))</f>
        <v>-13.243132913005988</v>
      </c>
      <c r="P59" s="65"/>
      <c r="Q59" s="65"/>
    </row>
    <row r="60" spans="1:17" x14ac:dyDescent="0.25">
      <c r="A60" s="2">
        <v>-98.470325397914564</v>
      </c>
      <c r="B60" s="2">
        <v>-98.470325397914564</v>
      </c>
      <c r="D60">
        <f>Calculate[[#This Row],[Freq]]</f>
        <v>2655000000</v>
      </c>
      <c r="E60" s="2">
        <f>MIN(-90, -89-Masks[[#This Row],[f]]/(600000000*S_ch_us),-82-Masks[[#This Row],[f]]/(250000000*S_ch_us))-K_ch_UPSD_us</f>
        <v>-94.749400086720371</v>
      </c>
      <c r="F60" s="2">
        <f>MIN(-90, -89-Masks[[#This Row],[f]]/(600000000*S_ch_ds),-82-Masks[[#This Row],[f]]/(250000000*S_ch_ds))-K_ch_UPSD_ds</f>
        <v>-94.749400086720371</v>
      </c>
      <c r="G60">
        <f>-MAX(MIN(20,20-10*LOG10(2*Masks[[#This Row],[f]]/480000000)),12-3)</f>
        <v>-9.5614671629411809</v>
      </c>
      <c r="H60">
        <f>-MAX(MIN(20,20-10*LOG10(2*Masks[[#This Row],[f]]/480000000)),12-3)</f>
        <v>-9.5614671629411809</v>
      </c>
      <c r="I60">
        <f>10*LOG10(POWER(10,Tx_power_us/10)/F_Nyquist_us)+IF(Masks[[#This Row],[f]]&gt;F_Nyquist_us,-50)</f>
        <v>-98.470325397914564</v>
      </c>
      <c r="J60" s="3">
        <f>10*LOG10(POWER(10,Tx_power_ds/10)/F_Nyquist_ds)+IF(Masks[[#This Row],[f]]&gt;F_Nyquist_ds,-50)</f>
        <v>-98.470325397914564</v>
      </c>
      <c r="K60" s="3">
        <f>IF(Masks[[#This Row],[f]]&gt;F_Nyquist_us,0,1)</f>
        <v>1</v>
      </c>
      <c r="L60" s="3">
        <f>IF(Masks[[#This Row],[f]]&gt;F_Nyquist_ds,0,1)</f>
        <v>1</v>
      </c>
      <c r="M60" s="3">
        <f>Config!B$7</f>
        <v>-40</v>
      </c>
      <c r="N60" s="3">
        <f>IF(Config!B$8&gt;0,10*LOG10($T$1*Masks[[#This Row],[f]]+Config!B$8*0.00073),-1000)</f>
        <v>-13.182614184129694</v>
      </c>
      <c r="O60" s="3">
        <f>10*LOG10((10^(Masks[[#This Row],[wire_echo]]/10))+(10^(Masks[[#This Row],[connector_echo]]/10)))</f>
        <v>-13.173586128037847</v>
      </c>
      <c r="P60" s="65"/>
      <c r="Q60" s="65"/>
    </row>
    <row r="61" spans="1:17" x14ac:dyDescent="0.25">
      <c r="A61" s="2">
        <v>-98.470325397914564</v>
      </c>
      <c r="B61" s="2">
        <v>-98.470325397914564</v>
      </c>
      <c r="D61">
        <f>Calculate[[#This Row],[Freq]]</f>
        <v>2700000000</v>
      </c>
      <c r="E61" s="2">
        <f>MIN(-90, -89-Masks[[#This Row],[f]]/(600000000*S_ch_us),-82-Masks[[#This Row],[f]]/(250000000*S_ch_us))-K_ch_UPSD_us</f>
        <v>-94.779400086720372</v>
      </c>
      <c r="F61" s="2">
        <f>MIN(-90, -89-Masks[[#This Row],[f]]/(600000000*S_ch_ds),-82-Masks[[#This Row],[f]]/(250000000*S_ch_ds))-K_ch_UPSD_ds</f>
        <v>-94.779400086720372</v>
      </c>
      <c r="G61">
        <f>-MAX(MIN(20,20-10*LOG10(2*Masks[[#This Row],[f]]/480000000)),12-3)</f>
        <v>-9.4884747755261873</v>
      </c>
      <c r="H61">
        <f>-MAX(MIN(20,20-10*LOG10(2*Masks[[#This Row],[f]]/480000000)),12-3)</f>
        <v>-9.4884747755261873</v>
      </c>
      <c r="I61">
        <f>10*LOG10(POWER(10,Tx_power_us/10)/F_Nyquist_us)+IF(Masks[[#This Row],[f]]&gt;F_Nyquist_us,-50)</f>
        <v>-98.470325397914564</v>
      </c>
      <c r="J61" s="3">
        <f>10*LOG10(POWER(10,Tx_power_ds/10)/F_Nyquist_ds)+IF(Masks[[#This Row],[f]]&gt;F_Nyquist_ds,-50)</f>
        <v>-98.470325397914564</v>
      </c>
      <c r="K61" s="3">
        <f>IF(Masks[[#This Row],[f]]&gt;F_Nyquist_us,0,1)</f>
        <v>1</v>
      </c>
      <c r="L61" s="3">
        <f>IF(Masks[[#This Row],[f]]&gt;F_Nyquist_ds,0,1)</f>
        <v>1</v>
      </c>
      <c r="M61" s="3">
        <f>Config!B$7</f>
        <v>-40</v>
      </c>
      <c r="N61" s="3">
        <f>IF(Config!B$8&gt;0,10*LOG10($T$1*Masks[[#This Row],[f]]+Config!B$8*0.00073),-1000)</f>
        <v>-13.114022249188302</v>
      </c>
      <c r="O61" s="3">
        <f>10*LOG10((10^(Masks[[#This Row],[wire_echo]]/10))+(10^(Masks[[#This Row],[connector_echo]]/10)))</f>
        <v>-13.105135516357523</v>
      </c>
      <c r="P61" s="65"/>
      <c r="Q61" s="65"/>
    </row>
    <row r="62" spans="1:17" x14ac:dyDescent="0.25">
      <c r="A62" s="2">
        <v>-98.470325397914564</v>
      </c>
      <c r="B62" s="2">
        <v>-98.470325397914564</v>
      </c>
      <c r="D62">
        <f>Calculate[[#This Row],[Freq]]</f>
        <v>2745000000</v>
      </c>
      <c r="E62" s="2">
        <f>MIN(-90, -89-Masks[[#This Row],[f]]/(600000000*S_ch_us),-82-Masks[[#This Row],[f]]/(250000000*S_ch_us))-K_ch_UPSD_us</f>
        <v>-94.809400086720373</v>
      </c>
      <c r="F62" s="2">
        <f>MIN(-90, -89-Masks[[#This Row],[f]]/(600000000*S_ch_ds),-82-Masks[[#This Row],[f]]/(250000000*S_ch_ds))-K_ch_UPSD_ds</f>
        <v>-94.809400086720373</v>
      </c>
      <c r="G62">
        <f>-MAX(MIN(20,20-10*LOG10(2*Masks[[#This Row],[f]]/480000000)),12-3)</f>
        <v>-9.4166889292549527</v>
      </c>
      <c r="H62">
        <f>-MAX(MIN(20,20-10*LOG10(2*Masks[[#This Row],[f]]/480000000)),12-3)</f>
        <v>-9.4166889292549527</v>
      </c>
      <c r="I62">
        <f>10*LOG10(POWER(10,Tx_power_us/10)/F_Nyquist_us)+IF(Masks[[#This Row],[f]]&gt;F_Nyquist_us,-50)</f>
        <v>-98.470325397914564</v>
      </c>
      <c r="J62" s="3">
        <f>10*LOG10(POWER(10,Tx_power_ds/10)/F_Nyquist_ds)+IF(Masks[[#This Row],[f]]&gt;F_Nyquist_ds,-50)</f>
        <v>-98.470325397914564</v>
      </c>
      <c r="K62" s="3">
        <f>IF(Masks[[#This Row],[f]]&gt;F_Nyquist_us,0,1)</f>
        <v>1</v>
      </c>
      <c r="L62" s="3">
        <f>IF(Masks[[#This Row],[f]]&gt;F_Nyquist_ds,0,1)</f>
        <v>1</v>
      </c>
      <c r="M62" s="3">
        <f>Config!B$7</f>
        <v>-40</v>
      </c>
      <c r="N62" s="3">
        <f>IF(Config!B$8&gt;0,10*LOG10($T$1*Masks[[#This Row],[f]]+Config!B$8*0.00073),-1000)</f>
        <v>-13.046496824305711</v>
      </c>
      <c r="O62" s="3">
        <f>10*LOG10((10^(Masks[[#This Row],[wire_echo]]/10))+(10^(Masks[[#This Row],[connector_echo]]/10)))</f>
        <v>-13.03774705843878</v>
      </c>
      <c r="P62" s="65"/>
      <c r="Q62" s="65"/>
    </row>
    <row r="63" spans="1:17" x14ac:dyDescent="0.25">
      <c r="A63" s="2">
        <v>-98.470325397914564</v>
      </c>
      <c r="B63" s="2">
        <v>-98.470325397914564</v>
      </c>
      <c r="D63">
        <f>Calculate[[#This Row],[Freq]]</f>
        <v>2790000000</v>
      </c>
      <c r="E63" s="2">
        <f>MIN(-90, -89-Masks[[#This Row],[f]]/(600000000*S_ch_us),-82-Masks[[#This Row],[f]]/(250000000*S_ch_us))-K_ch_UPSD_us</f>
        <v>-94.839400086720374</v>
      </c>
      <c r="F63" s="2">
        <f>MIN(-90, -89-Masks[[#This Row],[f]]/(600000000*S_ch_ds),-82-Masks[[#This Row],[f]]/(250000000*S_ch_ds))-K_ch_UPSD_ds</f>
        <v>-94.839400086720374</v>
      </c>
      <c r="G63">
        <f>-MAX(MIN(20,20-10*LOG10(2*Masks[[#This Row],[f]]/480000000)),12-3)</f>
        <v>-9.3460703843800843</v>
      </c>
      <c r="H63">
        <f>-MAX(MIN(20,20-10*LOG10(2*Masks[[#This Row],[f]]/480000000)),12-3)</f>
        <v>-9.3460703843800843</v>
      </c>
      <c r="I63">
        <f>10*LOG10(POWER(10,Tx_power_us/10)/F_Nyquist_us)+IF(Masks[[#This Row],[f]]&gt;F_Nyquist_us,-50)</f>
        <v>-98.470325397914564</v>
      </c>
      <c r="J63" s="3">
        <f>10*LOG10(POWER(10,Tx_power_ds/10)/F_Nyquist_ds)+IF(Masks[[#This Row],[f]]&gt;F_Nyquist_ds,-50)</f>
        <v>-98.470325397914564</v>
      </c>
      <c r="K63" s="3">
        <f>IF(Masks[[#This Row],[f]]&gt;F_Nyquist_us,0,1)</f>
        <v>1</v>
      </c>
      <c r="L63" s="3">
        <f>IF(Masks[[#This Row],[f]]&gt;F_Nyquist_ds,0,1)</f>
        <v>1</v>
      </c>
      <c r="M63" s="3">
        <f>Config!B$7</f>
        <v>-40</v>
      </c>
      <c r="N63" s="3">
        <f>IF(Config!B$8&gt;0,10*LOG10($T$1*Masks[[#This Row],[f]]+Config!B$8*0.00073),-1000)</f>
        <v>-12.980005251103632</v>
      </c>
      <c r="O63" s="3">
        <f>10*LOG10((10^(Masks[[#This Row],[wire_echo]]/10))+(10^(Masks[[#This Row],[connector_echo]]/10)))</f>
        <v>-12.97138829427071</v>
      </c>
      <c r="P63" s="65"/>
      <c r="Q63" s="65"/>
    </row>
    <row r="64" spans="1:17" x14ac:dyDescent="0.25">
      <c r="A64" s="2">
        <v>-98.470325397914564</v>
      </c>
      <c r="B64" s="2">
        <v>-98.470325397914564</v>
      </c>
      <c r="D64">
        <f>Calculate[[#This Row],[Freq]]</f>
        <v>2835000000</v>
      </c>
      <c r="E64" s="2">
        <f>MIN(-90, -89-Masks[[#This Row],[f]]/(600000000*S_ch_us),-82-Masks[[#This Row],[f]]/(250000000*S_ch_us))-K_ch_UPSD_us</f>
        <v>-94.869400086720375</v>
      </c>
      <c r="F64" s="2">
        <f>MIN(-90, -89-Masks[[#This Row],[f]]/(600000000*S_ch_ds),-82-Masks[[#This Row],[f]]/(250000000*S_ch_ds))-K_ch_UPSD_ds</f>
        <v>-94.869400086720375</v>
      </c>
      <c r="G64">
        <f>-MAX(MIN(20,20-10*LOG10(2*Masks[[#This Row],[f]]/480000000)),12-3)</f>
        <v>-9.2765817848268064</v>
      </c>
      <c r="H64">
        <f>-MAX(MIN(20,20-10*LOG10(2*Masks[[#This Row],[f]]/480000000)),12-3)</f>
        <v>-9.2765817848268064</v>
      </c>
      <c r="I64">
        <f>10*LOG10(POWER(10,Tx_power_us/10)/F_Nyquist_us)+IF(Masks[[#This Row],[f]]&gt;F_Nyquist_us,-50)</f>
        <v>-98.470325397914564</v>
      </c>
      <c r="J64" s="3">
        <f>10*LOG10(POWER(10,Tx_power_ds/10)/F_Nyquist_ds)+IF(Masks[[#This Row],[f]]&gt;F_Nyquist_ds,-50)</f>
        <v>-98.470325397914564</v>
      </c>
      <c r="K64" s="3">
        <f>IF(Masks[[#This Row],[f]]&gt;F_Nyquist_us,0,1)</f>
        <v>1</v>
      </c>
      <c r="L64" s="3">
        <f>IF(Masks[[#This Row],[f]]&gt;F_Nyquist_ds,0,1)</f>
        <v>1</v>
      </c>
      <c r="M64" s="3">
        <f>Config!B$7</f>
        <v>-40</v>
      </c>
      <c r="N64" s="3">
        <f>IF(Config!B$8&gt;0,10*LOG10($T$1*Masks[[#This Row],[f]]+Config!B$8*0.00073),-1000)</f>
        <v>-12.914516348694391</v>
      </c>
      <c r="O64" s="3">
        <f>10*LOG10((10^(Masks[[#This Row],[wire_echo]]/10))+(10^(Masks[[#This Row],[connector_echo]]/10)))</f>
        <v>-12.906028229469321</v>
      </c>
      <c r="P64" s="65"/>
      <c r="Q64" s="65"/>
    </row>
    <row r="65" spans="1:17" x14ac:dyDescent="0.25">
      <c r="A65" s="2">
        <v>-98.470325397914564</v>
      </c>
      <c r="B65" s="2">
        <v>-98.470325397914564</v>
      </c>
      <c r="D65">
        <f>Calculate[[#This Row],[Freq]]</f>
        <v>2880000000</v>
      </c>
      <c r="E65" s="2">
        <f>MIN(-90, -89-Masks[[#This Row],[f]]/(600000000*S_ch_us),-82-Masks[[#This Row],[f]]/(250000000*S_ch_us))-K_ch_UPSD_us</f>
        <v>-94.899400086720377</v>
      </c>
      <c r="F65" s="2">
        <f>MIN(-90, -89-Masks[[#This Row],[f]]/(600000000*S_ch_ds),-82-Masks[[#This Row],[f]]/(250000000*S_ch_ds))-K_ch_UPSD_ds</f>
        <v>-94.899400086720377</v>
      </c>
      <c r="G65">
        <f>-MAX(MIN(20,20-10*LOG10(2*Masks[[#This Row],[f]]/480000000)),12-3)</f>
        <v>-9.2081875395237507</v>
      </c>
      <c r="H65">
        <f>-MAX(MIN(20,20-10*LOG10(2*Masks[[#This Row],[f]]/480000000)),12-3)</f>
        <v>-9.2081875395237507</v>
      </c>
      <c r="I65">
        <f>10*LOG10(POWER(10,Tx_power_us/10)/F_Nyquist_us)+IF(Masks[[#This Row],[f]]&gt;F_Nyquist_us,-50)</f>
        <v>-98.470325397914564</v>
      </c>
      <c r="J65" s="3">
        <f>10*LOG10(POWER(10,Tx_power_ds/10)/F_Nyquist_ds)+IF(Masks[[#This Row],[f]]&gt;F_Nyquist_ds,-50)</f>
        <v>-98.470325397914564</v>
      </c>
      <c r="K65" s="3">
        <f>IF(Masks[[#This Row],[f]]&gt;F_Nyquist_us,0,1)</f>
        <v>1</v>
      </c>
      <c r="L65" s="3">
        <f>IF(Masks[[#This Row],[f]]&gt;F_Nyquist_ds,0,1)</f>
        <v>1</v>
      </c>
      <c r="M65" s="3">
        <f>Config!B$7</f>
        <v>-40</v>
      </c>
      <c r="N65" s="3">
        <f>IF(Config!B$8&gt;0,10*LOG10($T$1*Masks[[#This Row],[f]]+Config!B$8*0.00073),-1000)</f>
        <v>-12.850000325879575</v>
      </c>
      <c r="O65" s="3">
        <f>10*LOG10((10^(Masks[[#This Row],[wire_echo]]/10))+(10^(Masks[[#This Row],[connector_echo]]/10)))</f>
        <v>-12.841637248350064</v>
      </c>
      <c r="P65" s="65"/>
      <c r="Q65" s="65"/>
    </row>
    <row r="66" spans="1:17" x14ac:dyDescent="0.25">
      <c r="A66" s="2">
        <v>-98.470325397914564</v>
      </c>
      <c r="B66" s="2">
        <v>-98.470325397914564</v>
      </c>
      <c r="D66">
        <f>Calculate[[#This Row],[Freq]]</f>
        <v>2925000000</v>
      </c>
      <c r="E66" s="2">
        <f>MIN(-90, -89-Masks[[#This Row],[f]]/(600000000*S_ch_us),-82-Masks[[#This Row],[f]]/(250000000*S_ch_us))-K_ch_UPSD_us</f>
        <v>-94.929400086720378</v>
      </c>
      <c r="F66" s="2">
        <f>MIN(-90, -89-Masks[[#This Row],[f]]/(600000000*S_ch_ds),-82-Masks[[#This Row],[f]]/(250000000*S_ch_ds))-K_ch_UPSD_ds</f>
        <v>-94.929400086720378</v>
      </c>
      <c r="G66">
        <f>-MAX(MIN(20,20-10*LOG10(2*Masks[[#This Row],[f]]/480000000)),12-3)</f>
        <v>-9.1408537129340672</v>
      </c>
      <c r="H66">
        <f>-MAX(MIN(20,20-10*LOG10(2*Masks[[#This Row],[f]]/480000000)),12-3)</f>
        <v>-9.1408537129340672</v>
      </c>
      <c r="I66">
        <f>10*LOG10(POWER(10,Tx_power_us/10)/F_Nyquist_us)+IF(Masks[[#This Row],[f]]&gt;F_Nyquist_us,-50)</f>
        <v>-98.470325397914564</v>
      </c>
      <c r="J66" s="3">
        <f>10*LOG10(POWER(10,Tx_power_ds/10)/F_Nyquist_ds)+IF(Masks[[#This Row],[f]]&gt;F_Nyquist_ds,-50)</f>
        <v>-98.470325397914564</v>
      </c>
      <c r="K66" s="3">
        <f>IF(Masks[[#This Row],[f]]&gt;F_Nyquist_us,0,1)</f>
        <v>1</v>
      </c>
      <c r="L66" s="3">
        <f>IF(Masks[[#This Row],[f]]&gt;F_Nyquist_ds,0,1)</f>
        <v>1</v>
      </c>
      <c r="M66" s="3">
        <f>Config!B$7</f>
        <v>-40</v>
      </c>
      <c r="N66" s="3">
        <f>IF(Config!B$8&gt;0,10*LOG10($T$1*Masks[[#This Row],[f]]+Config!B$8*0.00073),-1000)</f>
        <v>-12.78642869977543</v>
      </c>
      <c r="O66" s="3">
        <f>10*LOG10((10^(Masks[[#This Row],[wire_echo]]/10))+(10^(Masks[[#This Row],[connector_echo]]/10)))</f>
        <v>-12.778187033350925</v>
      </c>
      <c r="P66" s="65"/>
      <c r="Q66" s="65"/>
    </row>
    <row r="67" spans="1:17" x14ac:dyDescent="0.25">
      <c r="A67" s="2">
        <v>-98.470325397914564</v>
      </c>
      <c r="B67" s="2">
        <v>-98.470325397914564</v>
      </c>
      <c r="D67">
        <f>Calculate[[#This Row],[Freq]]</f>
        <v>2970000000</v>
      </c>
      <c r="E67" s="2">
        <f>MIN(-90, -89-Masks[[#This Row],[f]]/(600000000*S_ch_us),-82-Masks[[#This Row],[f]]/(250000000*S_ch_us))-K_ch_UPSD_us</f>
        <v>-94.959400086720379</v>
      </c>
      <c r="F67" s="2">
        <f>MIN(-90, -89-Masks[[#This Row],[f]]/(600000000*S_ch_ds),-82-Masks[[#This Row],[f]]/(250000000*S_ch_ds))-K_ch_UPSD_ds</f>
        <v>-94.959400086720379</v>
      </c>
      <c r="G67">
        <f>-MAX(MIN(20,20-10*LOG10(2*Masks[[#This Row],[f]]/480000000)),12-3)</f>
        <v>-9.0745479239439355</v>
      </c>
      <c r="H67">
        <f>-MAX(MIN(20,20-10*LOG10(2*Masks[[#This Row],[f]]/480000000)),12-3)</f>
        <v>-9.0745479239439355</v>
      </c>
      <c r="I67">
        <f>10*LOG10(POWER(10,Tx_power_us/10)/F_Nyquist_us)+IF(Masks[[#This Row],[f]]&gt;F_Nyquist_us,-50)</f>
        <v>-98.470325397914564</v>
      </c>
      <c r="J67" s="3">
        <f>10*LOG10(POWER(10,Tx_power_ds/10)/F_Nyquist_ds)+IF(Masks[[#This Row],[f]]&gt;F_Nyquist_ds,-50)</f>
        <v>-98.470325397914564</v>
      </c>
      <c r="K67" s="3">
        <f>IF(Masks[[#This Row],[f]]&gt;F_Nyquist_us,0,1)</f>
        <v>1</v>
      </c>
      <c r="L67" s="3">
        <f>IF(Masks[[#This Row],[f]]&gt;F_Nyquist_ds,0,1)</f>
        <v>1</v>
      </c>
      <c r="M67" s="3">
        <f>Config!B$7</f>
        <v>-40</v>
      </c>
      <c r="N67" s="3">
        <f>IF(Config!B$8&gt;0,10*LOG10($T$1*Masks[[#This Row],[f]]+Config!B$8*0.00073),-1000)</f>
        <v>-12.723774220308627</v>
      </c>
      <c r="O67" s="3">
        <f>10*LOG10((10^(Masks[[#This Row],[wire_echo]]/10))+(10^(Masks[[#This Row],[connector_echo]]/10)))</f>
        <v>-12.715650490257456</v>
      </c>
      <c r="P67" s="65"/>
      <c r="Q67" s="65"/>
    </row>
    <row r="68" spans="1:17" x14ac:dyDescent="0.25">
      <c r="A68" s="2">
        <v>-98.470325397914564</v>
      </c>
      <c r="B68" s="2">
        <v>-98.470325397914564</v>
      </c>
      <c r="D68">
        <f>Calculate[[#This Row],[Freq]]</f>
        <v>3015000000</v>
      </c>
      <c r="E68" s="2">
        <f>MIN(-90, -89-Masks[[#This Row],[f]]/(600000000*S_ch_us),-82-Masks[[#This Row],[f]]/(250000000*S_ch_us))-K_ch_UPSD_us</f>
        <v>-94.98940008672038</v>
      </c>
      <c r="F68" s="2">
        <f>MIN(-90, -89-Masks[[#This Row],[f]]/(600000000*S_ch_ds),-82-Masks[[#This Row],[f]]/(250000000*S_ch_ds))-K_ch_UPSD_ds</f>
        <v>-94.98940008672038</v>
      </c>
      <c r="G68">
        <f>-MAX(MIN(20,20-10*LOG10(2*Masks[[#This Row],[f]]/480000000)),12-3)</f>
        <v>-9.0092392523543587</v>
      </c>
      <c r="H68">
        <f>-MAX(MIN(20,20-10*LOG10(2*Masks[[#This Row],[f]]/480000000)),12-3)</f>
        <v>-9.0092392523543587</v>
      </c>
      <c r="I68">
        <f>10*LOG10(POWER(10,Tx_power_us/10)/F_Nyquist_us)+IF(Masks[[#This Row],[f]]&gt;F_Nyquist_us,-50)</f>
        <v>-98.470325397914564</v>
      </c>
      <c r="J68" s="3">
        <f>10*LOG10(POWER(10,Tx_power_ds/10)/F_Nyquist_ds)+IF(Masks[[#This Row],[f]]&gt;F_Nyquist_ds,-50)</f>
        <v>-98.470325397914564</v>
      </c>
      <c r="K68" s="3">
        <f>IF(Masks[[#This Row],[f]]&gt;F_Nyquist_us,0,1)</f>
        <v>1</v>
      </c>
      <c r="L68" s="3">
        <f>IF(Masks[[#This Row],[f]]&gt;F_Nyquist_ds,0,1)</f>
        <v>1</v>
      </c>
      <c r="M68" s="3">
        <f>Config!B$7</f>
        <v>-40</v>
      </c>
      <c r="N68" s="3">
        <f>IF(Config!B$8&gt;0,10*LOG10($T$1*Masks[[#This Row],[f]]+Config!B$8*0.00073),-1000)</f>
        <v>-12.662010800081445</v>
      </c>
      <c r="O68" s="3">
        <f>10*LOG10((10^(Masks[[#This Row],[wire_echo]]/10))+(10^(Masks[[#This Row],[connector_echo]]/10)))</f>
        <v>-12.654001678735424</v>
      </c>
      <c r="P68" s="65"/>
      <c r="Q68" s="65"/>
    </row>
    <row r="69" spans="1:17" x14ac:dyDescent="0.25">
      <c r="A69" s="2">
        <v>-98.470325397914564</v>
      </c>
      <c r="B69" s="2">
        <v>-98.470325397914564</v>
      </c>
      <c r="D69">
        <f>Calculate[[#This Row],[Freq]]</f>
        <v>3060000000</v>
      </c>
      <c r="E69" s="2">
        <f>MIN(-90, -89-Masks[[#This Row],[f]]/(600000000*S_ch_us),-82-Masks[[#This Row],[f]]/(250000000*S_ch_us))-K_ch_UPSD_us</f>
        <v>-95.019400086720381</v>
      </c>
      <c r="F69" s="2">
        <f>MIN(-90, -89-Masks[[#This Row],[f]]/(600000000*S_ch_ds),-82-Masks[[#This Row],[f]]/(250000000*S_ch_ds))-K_ch_UPSD_ds</f>
        <v>-95.019400086720381</v>
      </c>
      <c r="G69">
        <f>-MAX(MIN(20,20-10*LOG10(2*Masks[[#This Row],[f]]/480000000)),12-3)</f>
        <v>-9</v>
      </c>
      <c r="H69">
        <f>-MAX(MIN(20,20-10*LOG10(2*Masks[[#This Row],[f]]/480000000)),12-3)</f>
        <v>-9</v>
      </c>
      <c r="I69">
        <f>10*LOG10(POWER(10,Tx_power_us/10)/F_Nyquist_us)+IF(Masks[[#This Row],[f]]&gt;F_Nyquist_us,-50)</f>
        <v>-98.470325397914564</v>
      </c>
      <c r="J69" s="3">
        <f>10*LOG10(POWER(10,Tx_power_ds/10)/F_Nyquist_ds)+IF(Masks[[#This Row],[f]]&gt;F_Nyquist_ds,-50)</f>
        <v>-98.470325397914564</v>
      </c>
      <c r="K69" s="3">
        <f>IF(Masks[[#This Row],[f]]&gt;F_Nyquist_us,0,1)</f>
        <v>1</v>
      </c>
      <c r="L69" s="3">
        <f>IF(Masks[[#This Row],[f]]&gt;F_Nyquist_ds,0,1)</f>
        <v>1</v>
      </c>
      <c r="M69" s="3">
        <f>Config!B$7</f>
        <v>-40</v>
      </c>
      <c r="N69" s="3">
        <f>IF(Config!B$8&gt;0,10*LOG10($T$1*Masks[[#This Row],[f]]+Config!B$8*0.00073),-1000)</f>
        <v>-12.601113449154568</v>
      </c>
      <c r="O69" s="3">
        <f>10*LOG10((10^(Masks[[#This Row],[wire_echo]]/10))+(10^(Masks[[#This Row],[connector_echo]]/10)))</f>
        <v>-12.593215747725452</v>
      </c>
      <c r="P69" s="65"/>
      <c r="Q69" s="65"/>
    </row>
    <row r="70" spans="1:17" x14ac:dyDescent="0.25">
      <c r="A70" s="2">
        <v>-98.470325397914564</v>
      </c>
      <c r="B70" s="2">
        <v>-98.470325397914564</v>
      </c>
      <c r="D70">
        <f>Calculate[[#This Row],[Freq]]</f>
        <v>3105000000</v>
      </c>
      <c r="E70" s="2">
        <f>MIN(-90, -89-Masks[[#This Row],[f]]/(600000000*S_ch_us),-82-Masks[[#This Row],[f]]/(250000000*S_ch_us))-K_ch_UPSD_us</f>
        <v>-95.049400086720368</v>
      </c>
      <c r="F70" s="2">
        <f>MIN(-90, -89-Masks[[#This Row],[f]]/(600000000*S_ch_ds),-82-Masks[[#This Row],[f]]/(250000000*S_ch_ds))-K_ch_UPSD_ds</f>
        <v>-95.049400086720368</v>
      </c>
      <c r="G70">
        <f>-MAX(MIN(20,20-10*LOG10(2*Masks[[#This Row],[f]]/480000000)),12-3)</f>
        <v>-9</v>
      </c>
      <c r="H70">
        <f>-MAX(MIN(20,20-10*LOG10(2*Masks[[#This Row],[f]]/480000000)),12-3)</f>
        <v>-9</v>
      </c>
      <c r="I70">
        <f>10*LOG10(POWER(10,Tx_power_us/10)/F_Nyquist_us)+IF(Masks[[#This Row],[f]]&gt;F_Nyquist_us,-50)</f>
        <v>-98.470325397914564</v>
      </c>
      <c r="J70" s="3">
        <f>10*LOG10(POWER(10,Tx_power_ds/10)/F_Nyquist_ds)+IF(Masks[[#This Row],[f]]&gt;F_Nyquist_ds,-50)</f>
        <v>-98.470325397914564</v>
      </c>
      <c r="K70" s="3">
        <f>IF(Masks[[#This Row],[f]]&gt;F_Nyquist_us,0,1)</f>
        <v>1</v>
      </c>
      <c r="L70" s="3">
        <f>IF(Masks[[#This Row],[f]]&gt;F_Nyquist_ds,0,1)</f>
        <v>1</v>
      </c>
      <c r="M70" s="3">
        <f>Config!B$7</f>
        <v>-40</v>
      </c>
      <c r="N70" s="3">
        <f>IF(Config!B$8&gt;0,10*LOG10($T$1*Masks[[#This Row],[f]]+Config!B$8*0.00073),-1000)</f>
        <v>-12.541058214339461</v>
      </c>
      <c r="O70" s="3">
        <f>10*LOG10((10^(Masks[[#This Row],[wire_echo]]/10))+(10^(Masks[[#This Row],[connector_echo]]/10)))</f>
        <v>-12.533268875296768</v>
      </c>
      <c r="P70" s="65"/>
      <c r="Q70" s="65"/>
    </row>
    <row r="71" spans="1:17" x14ac:dyDescent="0.25">
      <c r="A71" s="2">
        <v>-98.470325397914564</v>
      </c>
      <c r="B71" s="2">
        <v>-98.470325397914564</v>
      </c>
      <c r="D71">
        <f>Calculate[[#This Row],[Freq]]</f>
        <v>3150000000</v>
      </c>
      <c r="E71" s="2">
        <f>MIN(-90, -89-Masks[[#This Row],[f]]/(600000000*S_ch_us),-82-Masks[[#This Row],[f]]/(250000000*S_ch_us))-K_ch_UPSD_us</f>
        <v>-95.079400086720369</v>
      </c>
      <c r="F71" s="2">
        <f>MIN(-90, -89-Masks[[#This Row],[f]]/(600000000*S_ch_ds),-82-Masks[[#This Row],[f]]/(250000000*S_ch_ds))-K_ch_UPSD_ds</f>
        <v>-95.079400086720369</v>
      </c>
      <c r="G71">
        <f>-MAX(MIN(20,20-10*LOG10(2*Masks[[#This Row],[f]]/480000000)),12-3)</f>
        <v>-9</v>
      </c>
      <c r="H71">
        <f>-MAX(MIN(20,20-10*LOG10(2*Masks[[#This Row],[f]]/480000000)),12-3)</f>
        <v>-9</v>
      </c>
      <c r="I71">
        <f>10*LOG10(POWER(10,Tx_power_us/10)/F_Nyquist_us)+IF(Masks[[#This Row],[f]]&gt;F_Nyquist_us,-50)</f>
        <v>-98.470325397914564</v>
      </c>
      <c r="J71" s="3">
        <f>10*LOG10(POWER(10,Tx_power_ds/10)/F_Nyquist_ds)+IF(Masks[[#This Row],[f]]&gt;F_Nyquist_ds,-50)</f>
        <v>-98.470325397914564</v>
      </c>
      <c r="K71" s="3">
        <f>IF(Masks[[#This Row],[f]]&gt;F_Nyquist_us,0,1)</f>
        <v>1</v>
      </c>
      <c r="L71" s="3">
        <f>IF(Masks[[#This Row],[f]]&gt;F_Nyquist_ds,0,1)</f>
        <v>1</v>
      </c>
      <c r="M71" s="3">
        <f>Config!B$7</f>
        <v>-40</v>
      </c>
      <c r="N71" s="3">
        <f>IF(Config!B$8&gt;0,10*LOG10($T$1*Masks[[#This Row],[f]]+Config!B$8*0.00073),-1000)</f>
        <v>-12.481822122631208</v>
      </c>
      <c r="O71" s="3">
        <f>10*LOG10((10^(Masks[[#This Row],[wire_echo]]/10))+(10^(Masks[[#This Row],[connector_echo]]/10)))</f>
        <v>-12.474138212595909</v>
      </c>
      <c r="P71" s="65"/>
      <c r="Q71" s="65"/>
    </row>
    <row r="72" spans="1:17" x14ac:dyDescent="0.25">
      <c r="A72" s="2">
        <v>-98.470325397914564</v>
      </c>
      <c r="B72" s="2">
        <v>-98.470325397914564</v>
      </c>
      <c r="D72">
        <f>Calculate[[#This Row],[Freq]]</f>
        <v>3195000000</v>
      </c>
      <c r="E72" s="2">
        <f>MIN(-90, -89-Masks[[#This Row],[f]]/(600000000*S_ch_us),-82-Masks[[#This Row],[f]]/(250000000*S_ch_us))-K_ch_UPSD_us</f>
        <v>-95.10940008672037</v>
      </c>
      <c r="F72" s="2">
        <f>MIN(-90, -89-Masks[[#This Row],[f]]/(600000000*S_ch_ds),-82-Masks[[#This Row],[f]]/(250000000*S_ch_ds))-K_ch_UPSD_ds</f>
        <v>-95.10940008672037</v>
      </c>
      <c r="G72">
        <f>-MAX(MIN(20,20-10*LOG10(2*Masks[[#This Row],[f]]/480000000)),12-3)</f>
        <v>-9</v>
      </c>
      <c r="H72">
        <f>-MAX(MIN(20,20-10*LOG10(2*Masks[[#This Row],[f]]/480000000)),12-3)</f>
        <v>-9</v>
      </c>
      <c r="I72">
        <f>10*LOG10(POWER(10,Tx_power_us/10)/F_Nyquist_us)+IF(Masks[[#This Row],[f]]&gt;F_Nyquist_us,-50)</f>
        <v>-98.470325397914564</v>
      </c>
      <c r="J72" s="3">
        <f>10*LOG10(POWER(10,Tx_power_ds/10)/F_Nyquist_ds)+IF(Masks[[#This Row],[f]]&gt;F_Nyquist_ds,-50)</f>
        <v>-98.470325397914564</v>
      </c>
      <c r="K72" s="3">
        <f>IF(Masks[[#This Row],[f]]&gt;F_Nyquist_us,0,1)</f>
        <v>1</v>
      </c>
      <c r="L72" s="3">
        <f>IF(Masks[[#This Row],[f]]&gt;F_Nyquist_ds,0,1)</f>
        <v>1</v>
      </c>
      <c r="M72" s="3">
        <f>Config!B$7</f>
        <v>-40</v>
      </c>
      <c r="N72" s="3">
        <f>IF(Config!B$8&gt;0,10*LOG10($T$1*Masks[[#This Row],[f]]+Config!B$8*0.00073),-1000)</f>
        <v>-12.423383128447513</v>
      </c>
      <c r="O72" s="3">
        <f>10*LOG10((10^(Masks[[#This Row],[wire_echo]]/10))+(10^(Masks[[#This Row],[connector_echo]]/10)))</f>
        <v>-12.415801831560207</v>
      </c>
      <c r="P72" s="65"/>
      <c r="Q72" s="65"/>
    </row>
    <row r="73" spans="1:17" x14ac:dyDescent="0.25">
      <c r="A73" s="2">
        <v>-98.470325397914564</v>
      </c>
      <c r="B73" s="2">
        <v>-98.470325397914564</v>
      </c>
      <c r="D73">
        <f>Calculate[[#This Row],[Freq]]</f>
        <v>3240000000</v>
      </c>
      <c r="E73" s="2">
        <f>MIN(-90, -89-Masks[[#This Row],[f]]/(600000000*S_ch_us),-82-Masks[[#This Row],[f]]/(250000000*S_ch_us))-K_ch_UPSD_us</f>
        <v>-95.139400086720372</v>
      </c>
      <c r="F73" s="2">
        <f>MIN(-90, -89-Masks[[#This Row],[f]]/(600000000*S_ch_ds),-82-Masks[[#This Row],[f]]/(250000000*S_ch_ds))-K_ch_UPSD_ds</f>
        <v>-95.139400086720372</v>
      </c>
      <c r="G73">
        <f>-MAX(MIN(20,20-10*LOG10(2*Masks[[#This Row],[f]]/480000000)),12-3)</f>
        <v>-9</v>
      </c>
      <c r="H73">
        <f>-MAX(MIN(20,20-10*LOG10(2*Masks[[#This Row],[f]]/480000000)),12-3)</f>
        <v>-9</v>
      </c>
      <c r="I73">
        <f>10*LOG10(POWER(10,Tx_power_us/10)/F_Nyquist_us)+IF(Masks[[#This Row],[f]]&gt;F_Nyquist_us,-50)</f>
        <v>-98.470325397914564</v>
      </c>
      <c r="J73" s="3">
        <f>10*LOG10(POWER(10,Tx_power_ds/10)/F_Nyquist_ds)+IF(Masks[[#This Row],[f]]&gt;F_Nyquist_ds,-50)</f>
        <v>-98.470325397914564</v>
      </c>
      <c r="K73" s="3">
        <f>IF(Masks[[#This Row],[f]]&gt;F_Nyquist_us,0,1)</f>
        <v>1</v>
      </c>
      <c r="L73" s="3">
        <f>IF(Masks[[#This Row],[f]]&gt;F_Nyquist_ds,0,1)</f>
        <v>1</v>
      </c>
      <c r="M73" s="3">
        <f>Config!B$7</f>
        <v>-40</v>
      </c>
      <c r="N73" s="3">
        <f>IF(Config!B$8&gt;0,10*LOG10($T$1*Masks[[#This Row],[f]]+Config!B$8*0.00073),-1000)</f>
        <v>-12.365720064370628</v>
      </c>
      <c r="O73" s="3">
        <f>10*LOG10((10^(Masks[[#This Row],[wire_echo]]/10))+(10^(Masks[[#This Row],[connector_echo]]/10)))</f>
        <v>-12.358238676096693</v>
      </c>
      <c r="P73" s="65"/>
      <c r="Q73" s="65"/>
    </row>
    <row r="74" spans="1:17" x14ac:dyDescent="0.25">
      <c r="A74" s="2">
        <v>-98.470325397914564</v>
      </c>
      <c r="B74" s="2">
        <v>-98.470325397914564</v>
      </c>
      <c r="D74">
        <f>Calculate[[#This Row],[Freq]]</f>
        <v>3285000000</v>
      </c>
      <c r="E74" s="2">
        <f>MIN(-90, -89-Masks[[#This Row],[f]]/(600000000*S_ch_us),-82-Masks[[#This Row],[f]]/(250000000*S_ch_us))-K_ch_UPSD_us</f>
        <v>-95.169400086720373</v>
      </c>
      <c r="F74" s="2">
        <f>MIN(-90, -89-Masks[[#This Row],[f]]/(600000000*S_ch_ds),-82-Masks[[#This Row],[f]]/(250000000*S_ch_ds))-K_ch_UPSD_ds</f>
        <v>-95.169400086720373</v>
      </c>
      <c r="G74">
        <f>-MAX(MIN(20,20-10*LOG10(2*Masks[[#This Row],[f]]/480000000)),12-3)</f>
        <v>-9</v>
      </c>
      <c r="H74">
        <f>-MAX(MIN(20,20-10*LOG10(2*Masks[[#This Row],[f]]/480000000)),12-3)</f>
        <v>-9</v>
      </c>
      <c r="I74">
        <f>10*LOG10(POWER(10,Tx_power_us/10)/F_Nyquist_us)+IF(Masks[[#This Row],[f]]&gt;F_Nyquist_us,-50)</f>
        <v>-98.470325397914564</v>
      </c>
      <c r="J74" s="3">
        <f>10*LOG10(POWER(10,Tx_power_ds/10)/F_Nyquist_ds)+IF(Masks[[#This Row],[f]]&gt;F_Nyquist_ds,-50)</f>
        <v>-98.470325397914564</v>
      </c>
      <c r="K74" s="3">
        <f>IF(Masks[[#This Row],[f]]&gt;F_Nyquist_us,0,1)</f>
        <v>1</v>
      </c>
      <c r="L74" s="3">
        <f>IF(Masks[[#This Row],[f]]&gt;F_Nyquist_ds,0,1)</f>
        <v>1</v>
      </c>
      <c r="M74" s="3">
        <f>Config!B$7</f>
        <v>-40</v>
      </c>
      <c r="N74" s="3">
        <f>IF(Config!B$8&gt;0,10*LOG10($T$1*Masks[[#This Row],[f]]+Config!B$8*0.00073),-1000)</f>
        <v>-12.308812595116756</v>
      </c>
      <c r="O74" s="3">
        <f>10*LOG10((10^(Masks[[#This Row],[wire_echo]]/10))+(10^(Masks[[#This Row],[connector_echo]]/10)))</f>
        <v>-12.301428516454404</v>
      </c>
      <c r="P74" s="65"/>
      <c r="Q74" s="65"/>
    </row>
    <row r="75" spans="1:17" x14ac:dyDescent="0.25">
      <c r="A75" s="2">
        <v>-98.470325397914564</v>
      </c>
      <c r="B75" s="2">
        <v>-98.470325397914564</v>
      </c>
      <c r="D75">
        <f>Calculate[[#This Row],[Freq]]</f>
        <v>3330000000</v>
      </c>
      <c r="E75" s="2">
        <f>MIN(-90, -89-Masks[[#This Row],[f]]/(600000000*S_ch_us),-82-Masks[[#This Row],[f]]/(250000000*S_ch_us))-K_ch_UPSD_us</f>
        <v>-95.199400086720374</v>
      </c>
      <c r="F75" s="2">
        <f>MIN(-90, -89-Masks[[#This Row],[f]]/(600000000*S_ch_ds),-82-Masks[[#This Row],[f]]/(250000000*S_ch_ds))-K_ch_UPSD_ds</f>
        <v>-95.199400086720374</v>
      </c>
      <c r="G75">
        <f>-MAX(MIN(20,20-10*LOG10(2*Masks[[#This Row],[f]]/480000000)),12-3)</f>
        <v>-9</v>
      </c>
      <c r="H75">
        <f>-MAX(MIN(20,20-10*LOG10(2*Masks[[#This Row],[f]]/480000000)),12-3)</f>
        <v>-9</v>
      </c>
      <c r="I75">
        <f>10*LOG10(POWER(10,Tx_power_us/10)/F_Nyquist_us)+IF(Masks[[#This Row],[f]]&gt;F_Nyquist_us,-50)</f>
        <v>-98.470325397914564</v>
      </c>
      <c r="J75" s="3">
        <f>10*LOG10(POWER(10,Tx_power_ds/10)/F_Nyquist_ds)+IF(Masks[[#This Row],[f]]&gt;F_Nyquist_ds,-50)</f>
        <v>-98.470325397914564</v>
      </c>
      <c r="K75" s="3">
        <f>IF(Masks[[#This Row],[f]]&gt;F_Nyquist_us,0,1)</f>
        <v>1</v>
      </c>
      <c r="L75" s="3">
        <f>IF(Masks[[#This Row],[f]]&gt;F_Nyquist_ds,0,1)</f>
        <v>1</v>
      </c>
      <c r="M75" s="3">
        <f>Config!B$7</f>
        <v>-40</v>
      </c>
      <c r="N75" s="3">
        <f>IF(Config!B$8&gt;0,10*LOG10($T$1*Masks[[#This Row],[f]]+Config!B$8*0.00073),-1000)</f>
        <v>-12.252641174482466</v>
      </c>
      <c r="O75" s="3">
        <f>10*LOG10((10^(Masks[[#This Row],[wire_echo]]/10))+(10^(Masks[[#This Row],[connector_echo]]/10)))</f>
        <v>-12.245351906542608</v>
      </c>
      <c r="P75" s="65"/>
      <c r="Q75" s="65"/>
    </row>
    <row r="76" spans="1:17" x14ac:dyDescent="0.25">
      <c r="A76" s="2">
        <v>-98.470325397914564</v>
      </c>
      <c r="B76" s="2">
        <v>-98.470325397914564</v>
      </c>
      <c r="D76">
        <f>Calculate[[#This Row],[Freq]]</f>
        <v>3375000000</v>
      </c>
      <c r="E76" s="2">
        <f>MIN(-90, -89-Masks[[#This Row],[f]]/(600000000*S_ch_us),-82-Masks[[#This Row],[f]]/(250000000*S_ch_us))-K_ch_UPSD_us</f>
        <v>-95.229400086720375</v>
      </c>
      <c r="F76" s="2">
        <f>MIN(-90, -89-Masks[[#This Row],[f]]/(600000000*S_ch_ds),-82-Masks[[#This Row],[f]]/(250000000*S_ch_ds))-K_ch_UPSD_ds</f>
        <v>-95.229400086720375</v>
      </c>
      <c r="G76">
        <f>-MAX(MIN(20,20-10*LOG10(2*Masks[[#This Row],[f]]/480000000)),12-3)</f>
        <v>-9</v>
      </c>
      <c r="H76">
        <f>-MAX(MIN(20,20-10*LOG10(2*Masks[[#This Row],[f]]/480000000)),12-3)</f>
        <v>-9</v>
      </c>
      <c r="I76">
        <f>10*LOG10(POWER(10,Tx_power_us/10)/F_Nyquist_us)+IF(Masks[[#This Row],[f]]&gt;F_Nyquist_us,-50)</f>
        <v>-98.470325397914564</v>
      </c>
      <c r="J76" s="3">
        <f>10*LOG10(POWER(10,Tx_power_ds/10)/F_Nyquist_ds)+IF(Masks[[#This Row],[f]]&gt;F_Nyquist_ds,-50)</f>
        <v>-98.470325397914564</v>
      </c>
      <c r="K76" s="3">
        <f>IF(Masks[[#This Row],[f]]&gt;F_Nyquist_us,0,1)</f>
        <v>1</v>
      </c>
      <c r="L76" s="3">
        <f>IF(Masks[[#This Row],[f]]&gt;F_Nyquist_ds,0,1)</f>
        <v>1</v>
      </c>
      <c r="M76" s="3">
        <f>Config!B$7</f>
        <v>-40</v>
      </c>
      <c r="N76" s="3">
        <f>IF(Config!B$8&gt;0,10*LOG10($T$1*Masks[[#This Row],[f]]+Config!B$8*0.00073),-1000)</f>
        <v>-12.197187005040009</v>
      </c>
      <c r="O76" s="3">
        <f>10*LOG10((10^(Masks[[#This Row],[wire_echo]]/10))+(10^(Masks[[#This Row],[connector_echo]]/10)))</f>
        <v>-12.189990143969695</v>
      </c>
      <c r="P76" s="65"/>
      <c r="Q76" s="65"/>
    </row>
    <row r="77" spans="1:17" x14ac:dyDescent="0.25">
      <c r="A77" s="2">
        <v>-98.470325397914564</v>
      </c>
      <c r="B77" s="2">
        <v>-98.470325397914564</v>
      </c>
      <c r="D77">
        <f>Calculate[[#This Row],[Freq]]</f>
        <v>3420000000</v>
      </c>
      <c r="E77" s="2">
        <f>MIN(-90, -89-Masks[[#This Row],[f]]/(600000000*S_ch_us),-82-Masks[[#This Row],[f]]/(250000000*S_ch_us))-K_ch_UPSD_us</f>
        <v>-95.259400086720376</v>
      </c>
      <c r="F77" s="2">
        <f>MIN(-90, -89-Masks[[#This Row],[f]]/(600000000*S_ch_ds),-82-Masks[[#This Row],[f]]/(250000000*S_ch_ds))-K_ch_UPSD_ds</f>
        <v>-95.259400086720376</v>
      </c>
      <c r="G77">
        <f>-MAX(MIN(20,20-10*LOG10(2*Masks[[#This Row],[f]]/480000000)),12-3)</f>
        <v>-9</v>
      </c>
      <c r="H77">
        <f>-MAX(MIN(20,20-10*LOG10(2*Masks[[#This Row],[f]]/480000000)),12-3)</f>
        <v>-9</v>
      </c>
      <c r="I77">
        <f>10*LOG10(POWER(10,Tx_power_us/10)/F_Nyquist_us)+IF(Masks[[#This Row],[f]]&gt;F_Nyquist_us,-50)</f>
        <v>-98.470325397914564</v>
      </c>
      <c r="J77" s="3">
        <f>10*LOG10(POWER(10,Tx_power_ds/10)/F_Nyquist_ds)+IF(Masks[[#This Row],[f]]&gt;F_Nyquist_ds,-50)</f>
        <v>-98.470325397914564</v>
      </c>
      <c r="K77" s="3">
        <f>IF(Masks[[#This Row],[f]]&gt;F_Nyquist_us,0,1)</f>
        <v>1</v>
      </c>
      <c r="L77" s="3">
        <f>IF(Masks[[#This Row],[f]]&gt;F_Nyquist_ds,0,1)</f>
        <v>1</v>
      </c>
      <c r="M77" s="3">
        <f>Config!B$7</f>
        <v>-40</v>
      </c>
      <c r="N77" s="3">
        <f>IF(Config!B$8&gt;0,10*LOG10($T$1*Masks[[#This Row],[f]]+Config!B$8*0.00073),-1000)</f>
        <v>-12.142432000373571</v>
      </c>
      <c r="O77" s="3">
        <f>10*LOG10((10^(Masks[[#This Row],[wire_echo]]/10))+(10^(Masks[[#This Row],[connector_echo]]/10)))</f>
        <v>-12.135325232597179</v>
      </c>
      <c r="P77" s="65"/>
      <c r="Q77" s="65"/>
    </row>
    <row r="78" spans="1:17" x14ac:dyDescent="0.25">
      <c r="A78" s="2">
        <v>-98.470325397914564</v>
      </c>
      <c r="B78" s="2">
        <v>-98.470325397914564</v>
      </c>
      <c r="D78">
        <f>Calculate[[#This Row],[Freq]]</f>
        <v>3465000000</v>
      </c>
      <c r="E78" s="2">
        <f>MIN(-90, -89-Masks[[#This Row],[f]]/(600000000*S_ch_us),-82-Masks[[#This Row],[f]]/(250000000*S_ch_us))-K_ch_UPSD_us</f>
        <v>-95.289400086720377</v>
      </c>
      <c r="F78" s="2">
        <f>MIN(-90, -89-Masks[[#This Row],[f]]/(600000000*S_ch_ds),-82-Masks[[#This Row],[f]]/(250000000*S_ch_ds))-K_ch_UPSD_ds</f>
        <v>-95.289400086720377</v>
      </c>
      <c r="G78">
        <f>-MAX(MIN(20,20-10*LOG10(2*Masks[[#This Row],[f]]/480000000)),12-3)</f>
        <v>-9</v>
      </c>
      <c r="H78">
        <f>-MAX(MIN(20,20-10*LOG10(2*Masks[[#This Row],[f]]/480000000)),12-3)</f>
        <v>-9</v>
      </c>
      <c r="I78">
        <f>10*LOG10(POWER(10,Tx_power_us/10)/F_Nyquist_us)+IF(Masks[[#This Row],[f]]&gt;F_Nyquist_us,-50)</f>
        <v>-98.470325397914564</v>
      </c>
      <c r="J78" s="3">
        <f>10*LOG10(POWER(10,Tx_power_ds/10)/F_Nyquist_ds)+IF(Masks[[#This Row],[f]]&gt;F_Nyquist_ds,-50)</f>
        <v>-98.470325397914564</v>
      </c>
      <c r="K78" s="3">
        <f>IF(Masks[[#This Row],[f]]&gt;F_Nyquist_us,0,1)</f>
        <v>1</v>
      </c>
      <c r="L78" s="3">
        <f>IF(Masks[[#This Row],[f]]&gt;F_Nyquist_ds,0,1)</f>
        <v>1</v>
      </c>
      <c r="M78" s="3">
        <f>Config!B$7</f>
        <v>-40</v>
      </c>
      <c r="N78" s="3">
        <f>IF(Config!B$8&gt;0,10*LOG10($T$1*Masks[[#This Row],[f]]+Config!B$8*0.00073),-1000)</f>
        <v>-12.088358749666652</v>
      </c>
      <c r="O78" s="3">
        <f>10*LOG10((10^(Masks[[#This Row],[wire_echo]]/10))+(10^(Masks[[#This Row],[connector_echo]]/10)))</f>
        <v>-12.081339847421255</v>
      </c>
      <c r="P78" s="65"/>
      <c r="Q78" s="65"/>
    </row>
    <row r="79" spans="1:17" x14ac:dyDescent="0.25">
      <c r="A79" s="2">
        <v>-98.470325397914564</v>
      </c>
      <c r="B79" s="2">
        <v>-98.470325397914564</v>
      </c>
      <c r="D79">
        <f>Calculate[[#This Row],[Freq]]</f>
        <v>3510000000</v>
      </c>
      <c r="E79" s="2">
        <f>MIN(-90, -89-Masks[[#This Row],[f]]/(600000000*S_ch_us),-82-Masks[[#This Row],[f]]/(250000000*S_ch_us))-K_ch_UPSD_us</f>
        <v>-95.319400086720378</v>
      </c>
      <c r="F79" s="2">
        <f>MIN(-90, -89-Masks[[#This Row],[f]]/(600000000*S_ch_ds),-82-Masks[[#This Row],[f]]/(250000000*S_ch_ds))-K_ch_UPSD_ds</f>
        <v>-95.319400086720378</v>
      </c>
      <c r="G79">
        <f>-MAX(MIN(20,20-10*LOG10(2*Masks[[#This Row],[f]]/480000000)),12-3)</f>
        <v>-9</v>
      </c>
      <c r="H79">
        <f>-MAX(MIN(20,20-10*LOG10(2*Masks[[#This Row],[f]]/480000000)),12-3)</f>
        <v>-9</v>
      </c>
      <c r="I79">
        <f>10*LOG10(POWER(10,Tx_power_us/10)/F_Nyquist_us)+IF(Masks[[#This Row],[f]]&gt;F_Nyquist_us,-50)</f>
        <v>-98.470325397914564</v>
      </c>
      <c r="J79" s="3">
        <f>10*LOG10(POWER(10,Tx_power_ds/10)/F_Nyquist_ds)+IF(Masks[[#This Row],[f]]&gt;F_Nyquist_ds,-50)</f>
        <v>-98.470325397914564</v>
      </c>
      <c r="K79" s="3">
        <f>IF(Masks[[#This Row],[f]]&gt;F_Nyquist_us,0,1)</f>
        <v>1</v>
      </c>
      <c r="L79" s="3">
        <f>IF(Masks[[#This Row],[f]]&gt;F_Nyquist_ds,0,1)</f>
        <v>1</v>
      </c>
      <c r="M79" s="3">
        <f>Config!B$7</f>
        <v>-40</v>
      </c>
      <c r="N79" s="3">
        <f>IF(Config!B$8&gt;0,10*LOG10($T$1*Masks[[#This Row],[f]]+Config!B$8*0.00073),-1000)</f>
        <v>-12.034950484467037</v>
      </c>
      <c r="O79" s="3">
        <f>10*LOG10((10^(Masks[[#This Row],[wire_echo]]/10))+(10^(Masks[[#This Row],[connector_echo]]/10)))</f>
        <v>-12.028017301610411</v>
      </c>
      <c r="P79" s="65"/>
      <c r="Q79" s="65"/>
    </row>
    <row r="80" spans="1:17" x14ac:dyDescent="0.25">
      <c r="A80" s="2">
        <v>-98.470325397914564</v>
      </c>
      <c r="B80" s="2">
        <v>-98.470325397914564</v>
      </c>
      <c r="D80">
        <f>Calculate[[#This Row],[Freq]]</f>
        <v>3555000000</v>
      </c>
      <c r="E80" s="2">
        <f>MIN(-90, -89-Masks[[#This Row],[f]]/(600000000*S_ch_us),-82-Masks[[#This Row],[f]]/(250000000*S_ch_us))-K_ch_UPSD_us</f>
        <v>-95.349400086720379</v>
      </c>
      <c r="F80" s="2">
        <f>MIN(-90, -89-Masks[[#This Row],[f]]/(600000000*S_ch_ds),-82-Masks[[#This Row],[f]]/(250000000*S_ch_ds))-K_ch_UPSD_ds</f>
        <v>-95.349400086720379</v>
      </c>
      <c r="G80">
        <f>-MAX(MIN(20,20-10*LOG10(2*Masks[[#This Row],[f]]/480000000)),12-3)</f>
        <v>-9</v>
      </c>
      <c r="H80">
        <f>-MAX(MIN(20,20-10*LOG10(2*Masks[[#This Row],[f]]/480000000)),12-3)</f>
        <v>-9</v>
      </c>
      <c r="I80">
        <f>10*LOG10(POWER(10,Tx_power_us/10)/F_Nyquist_us)+IF(Masks[[#This Row],[f]]&gt;F_Nyquist_us,-50)</f>
        <v>-98.470325397914564</v>
      </c>
      <c r="J80" s="3">
        <f>10*LOG10(POWER(10,Tx_power_ds/10)/F_Nyquist_ds)+IF(Masks[[#This Row],[f]]&gt;F_Nyquist_ds,-50)</f>
        <v>-98.470325397914564</v>
      </c>
      <c r="K80" s="3">
        <f>IF(Masks[[#This Row],[f]]&gt;F_Nyquist_us,0,1)</f>
        <v>1</v>
      </c>
      <c r="L80" s="3">
        <f>IF(Masks[[#This Row],[f]]&gt;F_Nyquist_ds,0,1)</f>
        <v>1</v>
      </c>
      <c r="M80" s="3">
        <f>Config!B$7</f>
        <v>-40</v>
      </c>
      <c r="N80" s="3">
        <f>IF(Config!B$8&gt;0,10*LOG10($T$1*Masks[[#This Row],[f]]+Config!B$8*0.00073),-1000)</f>
        <v>-11.982191047470662</v>
      </c>
      <c r="O80" s="3">
        <f>10*LOG10((10^(Masks[[#This Row],[wire_echo]]/10))+(10^(Masks[[#This Row],[connector_echo]]/10)))</f>
        <v>-11.975341515542159</v>
      </c>
      <c r="P80" s="65"/>
      <c r="Q80" s="65"/>
    </row>
    <row r="81" spans="1:17" x14ac:dyDescent="0.25">
      <c r="A81" s="2">
        <v>-98.470325397914564</v>
      </c>
      <c r="B81" s="2">
        <v>-98.470325397914564</v>
      </c>
      <c r="D81">
        <f>Calculate[[#This Row],[Freq]]</f>
        <v>3600000000</v>
      </c>
      <c r="E81" s="2">
        <f>MIN(-90, -89-Masks[[#This Row],[f]]/(600000000*S_ch_us),-82-Masks[[#This Row],[f]]/(250000000*S_ch_us))-K_ch_UPSD_us</f>
        <v>-95.379400086720381</v>
      </c>
      <c r="F81" s="2">
        <f>MIN(-90, -89-Masks[[#This Row],[f]]/(600000000*S_ch_ds),-82-Masks[[#This Row],[f]]/(250000000*S_ch_ds))-K_ch_UPSD_ds</f>
        <v>-95.379400086720381</v>
      </c>
      <c r="G81">
        <f>-MAX(MIN(20,20-10*LOG10(2*Masks[[#This Row],[f]]/480000000)),12-3)</f>
        <v>-9</v>
      </c>
      <c r="H81">
        <f>-MAX(MIN(20,20-10*LOG10(2*Masks[[#This Row],[f]]/480000000)),12-3)</f>
        <v>-9</v>
      </c>
      <c r="I81">
        <f>10*LOG10(POWER(10,Tx_power_us/10)/F_Nyquist_us)+IF(Masks[[#This Row],[f]]&gt;F_Nyquist_us,-50)</f>
        <v>-98.470325397914564</v>
      </c>
      <c r="J81" s="3">
        <f>10*LOG10(POWER(10,Tx_power_ds/10)/F_Nyquist_ds)+IF(Masks[[#This Row],[f]]&gt;F_Nyquist_ds,-50)</f>
        <v>-98.470325397914564</v>
      </c>
      <c r="K81" s="3">
        <f>IF(Masks[[#This Row],[f]]&gt;F_Nyquist_us,0,1)</f>
        <v>1</v>
      </c>
      <c r="L81" s="3">
        <f>IF(Masks[[#This Row],[f]]&gt;F_Nyquist_ds,0,1)</f>
        <v>1</v>
      </c>
      <c r="M81" s="3">
        <f>Config!B$7</f>
        <v>-40</v>
      </c>
      <c r="N81" s="3">
        <f>IF(Config!B$8&gt;0,10*LOG10($T$1*Masks[[#This Row],[f]]+Config!B$8*0.00073),-1000)</f>
        <v>-11.930064863178929</v>
      </c>
      <c r="O81" s="3">
        <f>10*LOG10((10^(Masks[[#This Row],[wire_echo]]/10))+(10^(Masks[[#This Row],[connector_echo]]/10)))</f>
        <v>-11.923296987695164</v>
      </c>
      <c r="P81" s="65"/>
      <c r="Q81" s="65"/>
    </row>
    <row r="82" spans="1:17" x14ac:dyDescent="0.25">
      <c r="A82" s="2">
        <v>-98.470325397914564</v>
      </c>
      <c r="B82" s="2">
        <v>-98.470325397914564</v>
      </c>
      <c r="D82">
        <f>Calculate[[#This Row],[Freq]]</f>
        <v>3645000000</v>
      </c>
      <c r="E82" s="2">
        <f>MIN(-90, -89-Masks[[#This Row],[f]]/(600000000*S_ch_us),-82-Masks[[#This Row],[f]]/(250000000*S_ch_us))-K_ch_UPSD_us</f>
        <v>-95.409400086720382</v>
      </c>
      <c r="F82" s="2">
        <f>MIN(-90, -89-Masks[[#This Row],[f]]/(600000000*S_ch_ds),-82-Masks[[#This Row],[f]]/(250000000*S_ch_ds))-K_ch_UPSD_ds</f>
        <v>-95.409400086720382</v>
      </c>
      <c r="G82">
        <f>-MAX(MIN(20,20-10*LOG10(2*Masks[[#This Row],[f]]/480000000)),12-3)</f>
        <v>-9</v>
      </c>
      <c r="H82">
        <f>-MAX(MIN(20,20-10*LOG10(2*Masks[[#This Row],[f]]/480000000)),12-3)</f>
        <v>-9</v>
      </c>
      <c r="I82">
        <f>10*LOG10(POWER(10,Tx_power_us/10)/F_Nyquist_us)+IF(Masks[[#This Row],[f]]&gt;F_Nyquist_us,-50)</f>
        <v>-98.470325397914564</v>
      </c>
      <c r="J82" s="3">
        <f>10*LOG10(POWER(10,Tx_power_ds/10)/F_Nyquist_ds)+IF(Masks[[#This Row],[f]]&gt;F_Nyquist_ds,-50)</f>
        <v>-98.470325397914564</v>
      </c>
      <c r="K82" s="3">
        <f>IF(Masks[[#This Row],[f]]&gt;F_Nyquist_us,0,1)</f>
        <v>1</v>
      </c>
      <c r="L82" s="3">
        <f>IF(Masks[[#This Row],[f]]&gt;F_Nyquist_ds,0,1)</f>
        <v>1</v>
      </c>
      <c r="M82" s="3">
        <f>Config!B$7</f>
        <v>-40</v>
      </c>
      <c r="N82" s="3">
        <f>IF(Config!B$8&gt;0,10*LOG10($T$1*Masks[[#This Row],[f]]+Config!B$8*0.00073),-1000)</f>
        <v>-11.878556910296197</v>
      </c>
      <c r="O82" s="3">
        <f>10*LOG10((10^(Masks[[#This Row],[wire_echo]]/10))+(10^(Masks[[#This Row],[connector_echo]]/10)))</f>
        <v>-11.871868767264942</v>
      </c>
      <c r="P82" s="65"/>
      <c r="Q82" s="65"/>
    </row>
    <row r="83" spans="1:17" x14ac:dyDescent="0.25">
      <c r="A83" s="2">
        <v>-98.470325397914564</v>
      </c>
      <c r="B83" s="2">
        <v>-98.470325397914564</v>
      </c>
      <c r="D83">
        <f>Calculate[[#This Row],[Freq]]</f>
        <v>3690000000</v>
      </c>
      <c r="E83" s="2">
        <f>MIN(-90, -89-Masks[[#This Row],[f]]/(600000000*S_ch_us),-82-Masks[[#This Row],[f]]/(250000000*S_ch_us))-K_ch_UPSD_us</f>
        <v>-95.439400086720369</v>
      </c>
      <c r="F83" s="2">
        <f>MIN(-90, -89-Masks[[#This Row],[f]]/(600000000*S_ch_ds),-82-Masks[[#This Row],[f]]/(250000000*S_ch_ds))-K_ch_UPSD_ds</f>
        <v>-95.439400086720369</v>
      </c>
      <c r="G83">
        <f>-MAX(MIN(20,20-10*LOG10(2*Masks[[#This Row],[f]]/480000000)),12-3)</f>
        <v>-9</v>
      </c>
      <c r="H83">
        <f>-MAX(MIN(20,20-10*LOG10(2*Masks[[#This Row],[f]]/480000000)),12-3)</f>
        <v>-9</v>
      </c>
      <c r="I83">
        <f>10*LOG10(POWER(10,Tx_power_us/10)/F_Nyquist_us)+IF(Masks[[#This Row],[f]]&gt;F_Nyquist_us,-50)</f>
        <v>-98.470325397914564</v>
      </c>
      <c r="J83" s="3">
        <f>10*LOG10(POWER(10,Tx_power_ds/10)/F_Nyquist_ds)+IF(Masks[[#This Row],[f]]&gt;F_Nyquist_ds,-50)</f>
        <v>-98.470325397914564</v>
      </c>
      <c r="K83" s="3">
        <f>IF(Masks[[#This Row],[f]]&gt;F_Nyquist_us,0,1)</f>
        <v>1</v>
      </c>
      <c r="L83" s="3">
        <f>IF(Masks[[#This Row],[f]]&gt;F_Nyquist_ds,0,1)</f>
        <v>1</v>
      </c>
      <c r="M83" s="3">
        <f>Config!B$7</f>
        <v>-40</v>
      </c>
      <c r="N83" s="3">
        <f>IF(Config!B$8&gt;0,10*LOG10($T$1*Masks[[#This Row],[f]]+Config!B$8*0.00073),-1000)</f>
        <v>-11.827652695745019</v>
      </c>
      <c r="O83" s="3">
        <f>10*LOG10((10^(Masks[[#This Row],[wire_echo]]/10))+(10^(Masks[[#This Row],[connector_echo]]/10)))</f>
        <v>-11.821042428382047</v>
      </c>
      <c r="P83" s="65"/>
      <c r="Q83" s="65"/>
    </row>
    <row r="84" spans="1:17" x14ac:dyDescent="0.25">
      <c r="A84" s="2">
        <v>-98.470325397914564</v>
      </c>
      <c r="B84" s="2">
        <v>-98.470325397914564</v>
      </c>
      <c r="D84">
        <f>Calculate[[#This Row],[Freq]]</f>
        <v>3735000000</v>
      </c>
      <c r="E84" s="2">
        <f>MIN(-90, -89-Masks[[#This Row],[f]]/(600000000*S_ch_us),-82-Masks[[#This Row],[f]]/(250000000*S_ch_us))-K_ch_UPSD_us</f>
        <v>-95.46940008672037</v>
      </c>
      <c r="F84" s="2">
        <f>MIN(-90, -89-Masks[[#This Row],[f]]/(600000000*S_ch_ds),-82-Masks[[#This Row],[f]]/(250000000*S_ch_ds))-K_ch_UPSD_ds</f>
        <v>-95.46940008672037</v>
      </c>
      <c r="G84">
        <f>-MAX(MIN(20,20-10*LOG10(2*Masks[[#This Row],[f]]/480000000)),12-3)</f>
        <v>-9</v>
      </c>
      <c r="H84">
        <f>-MAX(MIN(20,20-10*LOG10(2*Masks[[#This Row],[f]]/480000000)),12-3)</f>
        <v>-9</v>
      </c>
      <c r="I84">
        <f>10*LOG10(POWER(10,Tx_power_us/10)/F_Nyquist_us)+IF(Masks[[#This Row],[f]]&gt;F_Nyquist_us,-50)</f>
        <v>-98.470325397914564</v>
      </c>
      <c r="J84" s="3">
        <f>10*LOG10(POWER(10,Tx_power_ds/10)/F_Nyquist_ds)+IF(Masks[[#This Row],[f]]&gt;F_Nyquist_ds,-50)</f>
        <v>-98.470325397914564</v>
      </c>
      <c r="K84" s="3">
        <f>IF(Masks[[#This Row],[f]]&gt;F_Nyquist_us,0,1)</f>
        <v>1</v>
      </c>
      <c r="L84" s="3">
        <f>IF(Masks[[#This Row],[f]]&gt;F_Nyquist_ds,0,1)</f>
        <v>1</v>
      </c>
      <c r="M84" s="3">
        <f>Config!B$7</f>
        <v>-40</v>
      </c>
      <c r="N84" s="3">
        <f>IF(Config!B$8&gt;0,10*LOG10($T$1*Masks[[#This Row],[f]]+Config!B$8*0.00073),-1000)</f>
        <v>-11.777338230186672</v>
      </c>
      <c r="O84" s="3">
        <f>10*LOG10((10^(Masks[[#This Row],[wire_echo]]/10))+(10^(Masks[[#This Row],[connector_echo]]/10)))</f>
        <v>-11.770804045821544</v>
      </c>
      <c r="P84" s="65"/>
      <c r="Q84" s="65"/>
    </row>
    <row r="85" spans="1:17" x14ac:dyDescent="0.25">
      <c r="A85" s="2">
        <v>-98.470325397914564</v>
      </c>
      <c r="B85" s="2">
        <v>-98.470325397914564</v>
      </c>
      <c r="D85">
        <f>Calculate[[#This Row],[Freq]]</f>
        <v>3780000000</v>
      </c>
      <c r="E85" s="2">
        <f>MIN(-90, -89-Masks[[#This Row],[f]]/(600000000*S_ch_us),-82-Masks[[#This Row],[f]]/(250000000*S_ch_us))-K_ch_UPSD_us</f>
        <v>-95.499400086720371</v>
      </c>
      <c r="F85" s="2">
        <f>MIN(-90, -89-Masks[[#This Row],[f]]/(600000000*S_ch_ds),-82-Masks[[#This Row],[f]]/(250000000*S_ch_ds))-K_ch_UPSD_ds</f>
        <v>-95.499400086720371</v>
      </c>
      <c r="G85">
        <f>-MAX(MIN(20,20-10*LOG10(2*Masks[[#This Row],[f]]/480000000)),12-3)</f>
        <v>-9</v>
      </c>
      <c r="H85">
        <f>-MAX(MIN(20,20-10*LOG10(2*Masks[[#This Row],[f]]/480000000)),12-3)</f>
        <v>-9</v>
      </c>
      <c r="I85">
        <f>10*LOG10(POWER(10,Tx_power_us/10)/F_Nyquist_us)+IF(Masks[[#This Row],[f]]&gt;F_Nyquist_us,-50)</f>
        <v>-98.470325397914564</v>
      </c>
      <c r="J85" s="3">
        <f>10*LOG10(POWER(10,Tx_power_ds/10)/F_Nyquist_ds)+IF(Masks[[#This Row],[f]]&gt;F_Nyquist_ds,-50)</f>
        <v>-98.470325397914564</v>
      </c>
      <c r="K85" s="3">
        <f>IF(Masks[[#This Row],[f]]&gt;F_Nyquist_us,0,1)</f>
        <v>1</v>
      </c>
      <c r="L85" s="3">
        <f>IF(Masks[[#This Row],[f]]&gt;F_Nyquist_ds,0,1)</f>
        <v>1</v>
      </c>
      <c r="M85" s="3">
        <f>Config!B$7</f>
        <v>-40</v>
      </c>
      <c r="N85" s="3">
        <f>IF(Config!B$8&gt;0,10*LOG10($T$1*Masks[[#This Row],[f]]+Config!B$8*0.00073),-1000)</f>
        <v>-11.727600004943547</v>
      </c>
      <c r="O85" s="3">
        <f>10*LOG10((10^(Masks[[#This Row],[wire_echo]]/10))+(10^(Masks[[#This Row],[connector_echo]]/10)))</f>
        <v>-11.721140172101443</v>
      </c>
      <c r="P85" s="65"/>
      <c r="Q85" s="65"/>
    </row>
    <row r="86" spans="1:17" x14ac:dyDescent="0.25">
      <c r="A86" s="2">
        <v>-98.470325397914564</v>
      </c>
      <c r="B86" s="2">
        <v>-98.470325397914564</v>
      </c>
      <c r="D86">
        <f>Calculate[[#This Row],[Freq]]</f>
        <v>3825000000</v>
      </c>
      <c r="E86" s="2">
        <f>MIN(-90, -89-Masks[[#This Row],[f]]/(600000000*S_ch_us),-82-Masks[[#This Row],[f]]/(250000000*S_ch_us))-K_ch_UPSD_us</f>
        <v>-95.529400086720372</v>
      </c>
      <c r="F86" s="2">
        <f>MIN(-90, -89-Masks[[#This Row],[f]]/(600000000*S_ch_ds),-82-Masks[[#This Row],[f]]/(250000000*S_ch_ds))-K_ch_UPSD_ds</f>
        <v>-95.529400086720372</v>
      </c>
      <c r="G86">
        <f>-MAX(MIN(20,20-10*LOG10(2*Masks[[#This Row],[f]]/480000000)),12-3)</f>
        <v>-9</v>
      </c>
      <c r="H86">
        <f>-MAX(MIN(20,20-10*LOG10(2*Masks[[#This Row],[f]]/480000000)),12-3)</f>
        <v>-9</v>
      </c>
      <c r="I86">
        <f>10*LOG10(POWER(10,Tx_power_us/10)/F_Nyquist_us)+IF(Masks[[#This Row],[f]]&gt;F_Nyquist_us,-50)</f>
        <v>-98.470325397914564</v>
      </c>
      <c r="J86" s="3">
        <f>10*LOG10(POWER(10,Tx_power_ds/10)/F_Nyquist_ds)+IF(Masks[[#This Row],[f]]&gt;F_Nyquist_ds,-50)</f>
        <v>-98.470325397914564</v>
      </c>
      <c r="K86" s="3">
        <f>IF(Masks[[#This Row],[f]]&gt;F_Nyquist_us,0,1)</f>
        <v>1</v>
      </c>
      <c r="L86" s="3">
        <f>IF(Masks[[#This Row],[f]]&gt;F_Nyquist_ds,0,1)</f>
        <v>1</v>
      </c>
      <c r="M86" s="3">
        <f>Config!B$7</f>
        <v>-40</v>
      </c>
      <c r="N86" s="3">
        <f>IF(Config!B$8&gt;0,10*LOG10($T$1*Masks[[#This Row],[f]]+Config!B$8*0.00073),-1000)</f>
        <v>-11.678424970228146</v>
      </c>
      <c r="O86" s="3">
        <f>10*LOG10((10^(Masks[[#This Row],[wire_echo]]/10))+(10^(Masks[[#This Row],[connector_echo]]/10)))</f>
        <v>-11.672037815875873</v>
      </c>
      <c r="P86" s="65"/>
      <c r="Q86" s="65"/>
    </row>
    <row r="87" spans="1:17" x14ac:dyDescent="0.25">
      <c r="A87" s="2">
        <v>-98.470325397914564</v>
      </c>
      <c r="B87" s="2">
        <v>-98.470325397914564</v>
      </c>
      <c r="D87">
        <f>Calculate[[#This Row],[Freq]]</f>
        <v>3870000000</v>
      </c>
      <c r="E87" s="2">
        <f>MIN(-90, -89-Masks[[#This Row],[f]]/(600000000*S_ch_us),-82-Masks[[#This Row],[f]]/(250000000*S_ch_us))-K_ch_UPSD_us</f>
        <v>-95.559400086720373</v>
      </c>
      <c r="F87" s="2">
        <f>MIN(-90, -89-Masks[[#This Row],[f]]/(600000000*S_ch_ds),-82-Masks[[#This Row],[f]]/(250000000*S_ch_ds))-K_ch_UPSD_ds</f>
        <v>-95.559400086720373</v>
      </c>
      <c r="G87">
        <f>-MAX(MIN(20,20-10*LOG10(2*Masks[[#This Row],[f]]/480000000)),12-3)</f>
        <v>-9</v>
      </c>
      <c r="H87">
        <f>-MAX(MIN(20,20-10*LOG10(2*Masks[[#This Row],[f]]/480000000)),12-3)</f>
        <v>-9</v>
      </c>
      <c r="I87">
        <f>10*LOG10(POWER(10,Tx_power_us/10)/F_Nyquist_us)+IF(Masks[[#This Row],[f]]&gt;F_Nyquist_us,-50)</f>
        <v>-98.470325397914564</v>
      </c>
      <c r="J87" s="3">
        <f>10*LOG10(POWER(10,Tx_power_ds/10)/F_Nyquist_ds)+IF(Masks[[#This Row],[f]]&gt;F_Nyquist_ds,-50)</f>
        <v>-98.470325397914564</v>
      </c>
      <c r="K87" s="3">
        <f>IF(Masks[[#This Row],[f]]&gt;F_Nyquist_us,0,1)</f>
        <v>1</v>
      </c>
      <c r="L87" s="3">
        <f>IF(Masks[[#This Row],[f]]&gt;F_Nyquist_ds,0,1)</f>
        <v>1</v>
      </c>
      <c r="M87" s="3">
        <f>Config!B$7</f>
        <v>-40</v>
      </c>
      <c r="N87" s="3">
        <f>IF(Config!B$8&gt;0,10*LOG10($T$1*Masks[[#This Row],[f]]+Config!B$8*0.00073),-1000)</f>
        <v>-11.629800514590915</v>
      </c>
      <c r="O87" s="3">
        <f>10*LOG10((10^(Masks[[#This Row],[wire_echo]]/10))+(10^(Masks[[#This Row],[connector_echo]]/10)))</f>
        <v>-11.623484421536077</v>
      </c>
      <c r="P87" s="65"/>
      <c r="Q87" s="65"/>
    </row>
    <row r="88" spans="1:17" x14ac:dyDescent="0.25">
      <c r="A88" s="2">
        <v>-98.470325397914564</v>
      </c>
      <c r="B88" s="2">
        <v>-98.470325397914564</v>
      </c>
      <c r="D88">
        <f>Calculate[[#This Row],[Freq]]</f>
        <v>3915000000</v>
      </c>
      <c r="E88" s="2">
        <f>MIN(-90, -89-Masks[[#This Row],[f]]/(600000000*S_ch_us),-82-Masks[[#This Row],[f]]/(250000000*S_ch_us))-K_ch_UPSD_us</f>
        <v>-95.589400086720374</v>
      </c>
      <c r="F88" s="2">
        <f>MIN(-90, -89-Masks[[#This Row],[f]]/(600000000*S_ch_ds),-82-Masks[[#This Row],[f]]/(250000000*S_ch_ds))-K_ch_UPSD_ds</f>
        <v>-95.589400086720374</v>
      </c>
      <c r="G88">
        <f>-MAX(MIN(20,20-10*LOG10(2*Masks[[#This Row],[f]]/480000000)),12-3)</f>
        <v>-9</v>
      </c>
      <c r="H88">
        <f>-MAX(MIN(20,20-10*LOG10(2*Masks[[#This Row],[f]]/480000000)),12-3)</f>
        <v>-9</v>
      </c>
      <c r="I88">
        <f>10*LOG10(POWER(10,Tx_power_us/10)/F_Nyquist_us)+IF(Masks[[#This Row],[f]]&gt;F_Nyquist_us,-50)</f>
        <v>-98.470325397914564</v>
      </c>
      <c r="J88" s="3">
        <f>10*LOG10(POWER(10,Tx_power_ds/10)/F_Nyquist_ds)+IF(Masks[[#This Row],[f]]&gt;F_Nyquist_ds,-50)</f>
        <v>-98.470325397914564</v>
      </c>
      <c r="K88" s="3">
        <f>IF(Masks[[#This Row],[f]]&gt;F_Nyquist_us,0,1)</f>
        <v>1</v>
      </c>
      <c r="L88" s="3">
        <f>IF(Masks[[#This Row],[f]]&gt;F_Nyquist_ds,0,1)</f>
        <v>1</v>
      </c>
      <c r="M88" s="3">
        <f>Config!B$7</f>
        <v>-40</v>
      </c>
      <c r="N88" s="3">
        <f>IF(Config!B$8&gt;0,10*LOG10($T$1*Masks[[#This Row],[f]]+Config!B$8*0.00073),-1000)</f>
        <v>-11.581714445505904</v>
      </c>
      <c r="O88" s="3">
        <f>10*LOG10((10^(Masks[[#This Row],[wire_echo]]/10))+(10^(Masks[[#This Row],[connector_echo]]/10)))</f>
        <v>-11.575467849939194</v>
      </c>
      <c r="P88" s="65"/>
      <c r="Q88" s="65"/>
    </row>
    <row r="89" spans="1:17" x14ac:dyDescent="0.25">
      <c r="A89" s="2">
        <v>-98.470325397914564</v>
      </c>
      <c r="B89" s="2">
        <v>-98.470325397914564</v>
      </c>
      <c r="D89">
        <f>Calculate[[#This Row],[Freq]]</f>
        <v>3960000000</v>
      </c>
      <c r="E89" s="2">
        <f>MIN(-90, -89-Masks[[#This Row],[f]]/(600000000*S_ch_us),-82-Masks[[#This Row],[f]]/(250000000*S_ch_us))-K_ch_UPSD_us</f>
        <v>-95.619400086720375</v>
      </c>
      <c r="F89" s="2">
        <f>MIN(-90, -89-Masks[[#This Row],[f]]/(600000000*S_ch_ds),-82-Masks[[#This Row],[f]]/(250000000*S_ch_ds))-K_ch_UPSD_ds</f>
        <v>-95.619400086720375</v>
      </c>
      <c r="G89">
        <f>-MAX(MIN(20,20-10*LOG10(2*Masks[[#This Row],[f]]/480000000)),12-3)</f>
        <v>-9</v>
      </c>
      <c r="H89">
        <f>-MAX(MIN(20,20-10*LOG10(2*Masks[[#This Row],[f]]/480000000)),12-3)</f>
        <v>-9</v>
      </c>
      <c r="I89">
        <f>10*LOG10(POWER(10,Tx_power_us/10)/F_Nyquist_us)+IF(Masks[[#This Row],[f]]&gt;F_Nyquist_us,-50)</f>
        <v>-98.470325397914564</v>
      </c>
      <c r="J89" s="3">
        <f>10*LOG10(POWER(10,Tx_power_ds/10)/F_Nyquist_ds)+IF(Masks[[#This Row],[f]]&gt;F_Nyquist_ds,-50)</f>
        <v>-98.470325397914564</v>
      </c>
      <c r="K89" s="3">
        <f>IF(Masks[[#This Row],[f]]&gt;F_Nyquist_us,0,1)</f>
        <v>1</v>
      </c>
      <c r="L89" s="3">
        <f>IF(Masks[[#This Row],[f]]&gt;F_Nyquist_ds,0,1)</f>
        <v>1</v>
      </c>
      <c r="M89" s="3">
        <f>Config!B$7</f>
        <v>-40</v>
      </c>
      <c r="N89" s="3">
        <f>IF(Config!B$8&gt;0,10*LOG10($T$1*Masks[[#This Row],[f]]+Config!B$8*0.00073),-1000)</f>
        <v>-11.534154971019539</v>
      </c>
      <c r="O89" s="3">
        <f>10*LOG10((10^(Masks[[#This Row],[wire_echo]]/10))+(10^(Masks[[#This Row],[connector_echo]]/10)))</f>
        <v>-11.527976360190767</v>
      </c>
      <c r="P89" s="65"/>
      <c r="Q89" s="65"/>
    </row>
    <row r="90" spans="1:17" x14ac:dyDescent="0.25">
      <c r="A90" s="2">
        <v>-98.470325397914564</v>
      </c>
      <c r="B90" s="2">
        <v>-98.470325397914564</v>
      </c>
      <c r="D90">
        <f>Calculate[[#This Row],[Freq]]</f>
        <v>4005000000</v>
      </c>
      <c r="E90" s="2">
        <f>MIN(-90, -89-Masks[[#This Row],[f]]/(600000000*S_ch_us),-82-Masks[[#This Row],[f]]/(250000000*S_ch_us))-K_ch_UPSD_us</f>
        <v>-95.649400086720377</v>
      </c>
      <c r="F90" s="2">
        <f>MIN(-90, -89-Masks[[#This Row],[f]]/(600000000*S_ch_ds),-82-Masks[[#This Row],[f]]/(250000000*S_ch_ds))-K_ch_UPSD_ds</f>
        <v>-95.649400086720377</v>
      </c>
      <c r="G90">
        <f>-MAX(MIN(20,20-10*LOG10(2*Masks[[#This Row],[f]]/480000000)),12-3)</f>
        <v>-9</v>
      </c>
      <c r="H90">
        <f>-MAX(MIN(20,20-10*LOG10(2*Masks[[#This Row],[f]]/480000000)),12-3)</f>
        <v>-9</v>
      </c>
      <c r="I90">
        <f>10*LOG10(POWER(10,Tx_power_us/10)/F_Nyquist_us)+IF(Masks[[#This Row],[f]]&gt;F_Nyquist_us,-50)</f>
        <v>-98.470325397914564</v>
      </c>
      <c r="J90" s="3">
        <f>10*LOG10(POWER(10,Tx_power_ds/10)/F_Nyquist_ds)+IF(Masks[[#This Row],[f]]&gt;F_Nyquist_ds,-50)</f>
        <v>-98.470325397914564</v>
      </c>
      <c r="K90" s="3">
        <f>IF(Masks[[#This Row],[f]]&gt;F_Nyquist_us,0,1)</f>
        <v>1</v>
      </c>
      <c r="L90" s="3">
        <f>IF(Masks[[#This Row],[f]]&gt;F_Nyquist_ds,0,1)</f>
        <v>1</v>
      </c>
      <c r="M90" s="3">
        <f>Config!B$7</f>
        <v>-40</v>
      </c>
      <c r="N90" s="3">
        <f>IF(Config!B$8&gt;0,10*LOG10($T$1*Masks[[#This Row],[f]]+Config!B$8*0.00073),-1000)</f>
        <v>-11.487110682393357</v>
      </c>
      <c r="O90" s="3">
        <f>10*LOG10((10^(Masks[[#This Row],[wire_echo]]/10))+(10^(Masks[[#This Row],[connector_echo]]/10)))</f>
        <v>-11.480998592412558</v>
      </c>
      <c r="P90" s="65"/>
      <c r="Q90" s="65"/>
    </row>
    <row r="91" spans="1:17" x14ac:dyDescent="0.25">
      <c r="A91" s="2">
        <v>-98.470325397914564</v>
      </c>
      <c r="B91" s="2">
        <v>-98.470325397914564</v>
      </c>
      <c r="D91">
        <f>Calculate[[#This Row],[Freq]]</f>
        <v>4050000000</v>
      </c>
      <c r="E91" s="2">
        <f>MIN(-90, -89-Masks[[#This Row],[f]]/(600000000*S_ch_us),-82-Masks[[#This Row],[f]]/(250000000*S_ch_us))-K_ch_UPSD_us</f>
        <v>-95.679400086720378</v>
      </c>
      <c r="F91" s="2">
        <f>MIN(-90, -89-Masks[[#This Row],[f]]/(600000000*S_ch_ds),-82-Masks[[#This Row],[f]]/(250000000*S_ch_ds))-K_ch_UPSD_ds</f>
        <v>-95.679400086720378</v>
      </c>
      <c r="G91">
        <f>-MAX(MIN(20,20-10*LOG10(2*Masks[[#This Row],[f]]/480000000)),12-3)</f>
        <v>-9</v>
      </c>
      <c r="H91">
        <f>-MAX(MIN(20,20-10*LOG10(2*Masks[[#This Row],[f]]/480000000)),12-3)</f>
        <v>-9</v>
      </c>
      <c r="I91">
        <f>10*LOG10(POWER(10,Tx_power_us/10)/F_Nyquist_us)+IF(Masks[[#This Row],[f]]&gt;F_Nyquist_us,-50)</f>
        <v>-98.470325397914564</v>
      </c>
      <c r="J91" s="3">
        <f>10*LOG10(POWER(10,Tx_power_ds/10)/F_Nyquist_ds)+IF(Masks[[#This Row],[f]]&gt;F_Nyquist_ds,-50)</f>
        <v>-98.470325397914564</v>
      </c>
      <c r="K91" s="3">
        <f>IF(Masks[[#This Row],[f]]&gt;F_Nyquist_us,0,1)</f>
        <v>1</v>
      </c>
      <c r="L91" s="3">
        <f>IF(Masks[[#This Row],[f]]&gt;F_Nyquist_ds,0,1)</f>
        <v>1</v>
      </c>
      <c r="M91" s="3">
        <f>Config!B$7</f>
        <v>-40</v>
      </c>
      <c r="N91" s="3">
        <f>IF(Config!B$8&gt;0,10*LOG10($T$1*Masks[[#This Row],[f]]+Config!B$8*0.00073),-1000)</f>
        <v>-11.440570537676839</v>
      </c>
      <c r="O91" s="3">
        <f>10*LOG10((10^(Masks[[#This Row],[wire_echo]]/10))+(10^(Masks[[#This Row],[connector_echo]]/10)))</f>
        <v>-11.434523551432523</v>
      </c>
      <c r="P91" s="65"/>
      <c r="Q91" s="65"/>
    </row>
    <row r="92" spans="1:17" x14ac:dyDescent="0.25">
      <c r="A92" s="2">
        <v>-98.470325397914564</v>
      </c>
      <c r="B92" s="2">
        <v>-98.470325397914564</v>
      </c>
      <c r="D92">
        <f>Calculate[[#This Row],[Freq]]</f>
        <v>4095000000</v>
      </c>
      <c r="E92" s="2">
        <f>MIN(-90, -89-Masks[[#This Row],[f]]/(600000000*S_ch_us),-82-Masks[[#This Row],[f]]/(250000000*S_ch_us))-K_ch_UPSD_us</f>
        <v>-95.709400086720379</v>
      </c>
      <c r="F92" s="2">
        <f>MIN(-90, -89-Masks[[#This Row],[f]]/(600000000*S_ch_ds),-82-Masks[[#This Row],[f]]/(250000000*S_ch_ds))-K_ch_UPSD_ds</f>
        <v>-95.709400086720379</v>
      </c>
      <c r="G92">
        <f>-MAX(MIN(20,20-10*LOG10(2*Masks[[#This Row],[f]]/480000000)),12-3)</f>
        <v>-9</v>
      </c>
      <c r="H92">
        <f>-MAX(MIN(20,20-10*LOG10(2*Masks[[#This Row],[f]]/480000000)),12-3)</f>
        <v>-9</v>
      </c>
      <c r="I92">
        <f>10*LOG10(POWER(10,Tx_power_us/10)/F_Nyquist_us)+IF(Masks[[#This Row],[f]]&gt;F_Nyquist_us,-50)</f>
        <v>-98.470325397914564</v>
      </c>
      <c r="J92" s="3">
        <f>10*LOG10(POWER(10,Tx_power_ds/10)/F_Nyquist_ds)+IF(Masks[[#This Row],[f]]&gt;F_Nyquist_ds,-50)</f>
        <v>-98.470325397914564</v>
      </c>
      <c r="K92" s="3">
        <f>IF(Masks[[#This Row],[f]]&gt;F_Nyquist_us,0,1)</f>
        <v>1</v>
      </c>
      <c r="L92" s="3">
        <f>IF(Masks[[#This Row],[f]]&gt;F_Nyquist_ds,0,1)</f>
        <v>1</v>
      </c>
      <c r="M92" s="3">
        <f>Config!B$7</f>
        <v>-40</v>
      </c>
      <c r="N92" s="3">
        <f>IF(Config!B$8&gt;0,10*LOG10($T$1*Masks[[#This Row],[f]]+Config!B$8*0.00073),-1000)</f>
        <v>-11.394523846151106</v>
      </c>
      <c r="O92" s="3">
        <f>10*LOG10((10^(Masks[[#This Row],[wire_echo]]/10))+(10^(Masks[[#This Row],[connector_echo]]/10)))</f>
        <v>-11.388540591338188</v>
      </c>
      <c r="P92" s="65"/>
      <c r="Q92" s="65"/>
    </row>
    <row r="93" spans="1:17" x14ac:dyDescent="0.25">
      <c r="A93" s="2">
        <v>-98.470325397914564</v>
      </c>
      <c r="B93" s="2">
        <v>-98.470325397914564</v>
      </c>
      <c r="D93">
        <f>Calculate[[#This Row],[Freq]]</f>
        <v>4140000000</v>
      </c>
      <c r="E93" s="2">
        <f>MIN(-90, -89-Masks[[#This Row],[f]]/(600000000*S_ch_us),-82-Masks[[#This Row],[f]]/(250000000*S_ch_us))-K_ch_UPSD_us</f>
        <v>-95.73940008672038</v>
      </c>
      <c r="F93" s="2">
        <f>MIN(-90, -89-Masks[[#This Row],[f]]/(600000000*S_ch_ds),-82-Masks[[#This Row],[f]]/(250000000*S_ch_ds))-K_ch_UPSD_ds</f>
        <v>-95.73940008672038</v>
      </c>
      <c r="G93">
        <f>-MAX(MIN(20,20-10*LOG10(2*Masks[[#This Row],[f]]/480000000)),12-3)</f>
        <v>-9</v>
      </c>
      <c r="H93">
        <f>-MAX(MIN(20,20-10*LOG10(2*Masks[[#This Row],[f]]/480000000)),12-3)</f>
        <v>-9</v>
      </c>
      <c r="I93">
        <f>10*LOG10(POWER(10,Tx_power_us/10)/F_Nyquist_us)+IF(Masks[[#This Row],[f]]&gt;F_Nyquist_us,-50)</f>
        <v>-98.470325397914564</v>
      </c>
      <c r="J93" s="3">
        <f>10*LOG10(POWER(10,Tx_power_ds/10)/F_Nyquist_ds)+IF(Masks[[#This Row],[f]]&gt;F_Nyquist_ds,-50)</f>
        <v>-98.470325397914564</v>
      </c>
      <c r="K93" s="3">
        <f>IF(Masks[[#This Row],[f]]&gt;F_Nyquist_us,0,1)</f>
        <v>1</v>
      </c>
      <c r="L93" s="3">
        <f>IF(Masks[[#This Row],[f]]&gt;F_Nyquist_ds,0,1)</f>
        <v>1</v>
      </c>
      <c r="M93" s="3">
        <f>Config!B$7</f>
        <v>-40</v>
      </c>
      <c r="N93" s="3">
        <f>IF(Config!B$8&gt;0,10*LOG10($T$1*Masks[[#This Row],[f]]+Config!B$8*0.00073),-1000)</f>
        <v>-11.34896025358872</v>
      </c>
      <c r="O93" s="3">
        <f>10*LOG10((10^(Masks[[#This Row],[wire_echo]]/10))+(10^(Masks[[#This Row],[connector_echo]]/10)))</f>
        <v>-11.343039400839295</v>
      </c>
      <c r="P93" s="65"/>
      <c r="Q93" s="65"/>
    </row>
    <row r="94" spans="1:17" x14ac:dyDescent="0.25">
      <c r="A94" s="2">
        <v>-98.470325397914564</v>
      </c>
      <c r="B94" s="2">
        <v>-98.470325397914564</v>
      </c>
      <c r="D94">
        <f>Calculate[[#This Row],[Freq]]</f>
        <v>4185000000</v>
      </c>
      <c r="E94" s="2">
        <f>MIN(-90, -89-Masks[[#This Row],[f]]/(600000000*S_ch_us),-82-Masks[[#This Row],[f]]/(250000000*S_ch_us))-K_ch_UPSD_us</f>
        <v>-95.769400086720381</v>
      </c>
      <c r="F94" s="2">
        <f>MIN(-90, -89-Masks[[#This Row],[f]]/(600000000*S_ch_ds),-82-Masks[[#This Row],[f]]/(250000000*S_ch_ds))-K_ch_UPSD_ds</f>
        <v>-95.769400086720381</v>
      </c>
      <c r="G94">
        <f>-MAX(MIN(20,20-10*LOG10(2*Masks[[#This Row],[f]]/480000000)),12-3)</f>
        <v>-9</v>
      </c>
      <c r="H94">
        <f>-MAX(MIN(20,20-10*LOG10(2*Masks[[#This Row],[f]]/480000000)),12-3)</f>
        <v>-9</v>
      </c>
      <c r="I94">
        <f>10*LOG10(POWER(10,Tx_power_us/10)/F_Nyquist_us)+IF(Masks[[#This Row],[f]]&gt;F_Nyquist_us,-50)</f>
        <v>-98.470325397914564</v>
      </c>
      <c r="J94" s="3">
        <f>10*LOG10(POWER(10,Tx_power_ds/10)/F_Nyquist_ds)+IF(Masks[[#This Row],[f]]&gt;F_Nyquist_ds,-50)</f>
        <v>-98.470325397914564</v>
      </c>
      <c r="K94" s="3">
        <f>IF(Masks[[#This Row],[f]]&gt;F_Nyquist_us,0,1)</f>
        <v>1</v>
      </c>
      <c r="L94" s="3">
        <f>IF(Masks[[#This Row],[f]]&gt;F_Nyquist_ds,0,1)</f>
        <v>1</v>
      </c>
      <c r="M94" s="3">
        <f>Config!B$7</f>
        <v>-40</v>
      </c>
      <c r="N94" s="3">
        <f>IF(Config!B$8&gt;0,10*LOG10($T$1*Masks[[#This Row],[f]]+Config!B$8*0.00073),-1000)</f>
        <v>-11.303869728278713</v>
      </c>
      <c r="O94" s="3">
        <f>10*LOG10((10^(Masks[[#This Row],[wire_echo]]/10))+(10^(Masks[[#This Row],[connector_echo]]/10)))</f>
        <v>-11.2980099893893</v>
      </c>
      <c r="P94" s="65"/>
      <c r="Q94" s="65"/>
    </row>
    <row r="95" spans="1:17" x14ac:dyDescent="0.25">
      <c r="A95" s="2">
        <v>-98.470325397914564</v>
      </c>
      <c r="B95" s="2">
        <v>-98.470325397914564</v>
      </c>
      <c r="D95">
        <f>Calculate[[#This Row],[Freq]]</f>
        <v>4230000000</v>
      </c>
      <c r="E95" s="2">
        <f>MIN(-90, -89-Masks[[#This Row],[f]]/(600000000*S_ch_us),-82-Masks[[#This Row],[f]]/(250000000*S_ch_us))-K_ch_UPSD_us</f>
        <v>-95.799400086720368</v>
      </c>
      <c r="F95" s="2">
        <f>MIN(-90, -89-Masks[[#This Row],[f]]/(600000000*S_ch_ds),-82-Masks[[#This Row],[f]]/(250000000*S_ch_ds))-K_ch_UPSD_ds</f>
        <v>-95.799400086720368</v>
      </c>
      <c r="G95">
        <f>-MAX(MIN(20,20-10*LOG10(2*Masks[[#This Row],[f]]/480000000)),12-3)</f>
        <v>-9</v>
      </c>
      <c r="H95">
        <f>-MAX(MIN(20,20-10*LOG10(2*Masks[[#This Row],[f]]/480000000)),12-3)</f>
        <v>-9</v>
      </c>
      <c r="I95">
        <f>10*LOG10(POWER(10,Tx_power_us/10)/F_Nyquist_us)+IF(Masks[[#This Row],[f]]&gt;F_Nyquist_us,-50)</f>
        <v>-98.470325397914564</v>
      </c>
      <c r="J95" s="3">
        <f>10*LOG10(POWER(10,Tx_power_ds/10)/F_Nyquist_ds)+IF(Masks[[#This Row],[f]]&gt;F_Nyquist_ds,-50)</f>
        <v>-98.470325397914564</v>
      </c>
      <c r="K95" s="3">
        <f>IF(Masks[[#This Row],[f]]&gt;F_Nyquist_us,0,1)</f>
        <v>1</v>
      </c>
      <c r="L95" s="3">
        <f>IF(Masks[[#This Row],[f]]&gt;F_Nyquist_ds,0,1)</f>
        <v>1</v>
      </c>
      <c r="M95" s="3">
        <f>Config!B$7</f>
        <v>-40</v>
      </c>
      <c r="N95" s="3">
        <f>IF(Config!B$8&gt;0,10*LOG10($T$1*Masks[[#This Row],[f]]+Config!B$8*0.00073),-1000)</f>
        <v>-11.25924254776965</v>
      </c>
      <c r="O95" s="3">
        <f>10*LOG10((10^(Masks[[#This Row],[wire_echo]]/10))+(10^(Masks[[#This Row],[connector_echo]]/10)))</f>
        <v>-11.253442674018988</v>
      </c>
      <c r="P95" s="65"/>
      <c r="Q95" s="65"/>
    </row>
    <row r="96" spans="1:17" x14ac:dyDescent="0.25">
      <c r="A96" s="2">
        <v>-98.470325397914564</v>
      </c>
      <c r="B96" s="2">
        <v>-98.470325397914564</v>
      </c>
      <c r="D96">
        <f>Calculate[[#This Row],[Freq]]</f>
        <v>4275000000</v>
      </c>
      <c r="E96" s="2">
        <f>MIN(-90, -89-Masks[[#This Row],[f]]/(600000000*S_ch_us),-82-Masks[[#This Row],[f]]/(250000000*S_ch_us))-K_ch_UPSD_us</f>
        <v>-95.829400086720369</v>
      </c>
      <c r="F96" s="2">
        <f>MIN(-90, -89-Masks[[#This Row],[f]]/(600000000*S_ch_ds),-82-Masks[[#This Row],[f]]/(250000000*S_ch_ds))-K_ch_UPSD_ds</f>
        <v>-95.829400086720369</v>
      </c>
      <c r="G96">
        <f>-MAX(MIN(20,20-10*LOG10(2*Masks[[#This Row],[f]]/480000000)),12-3)</f>
        <v>-9</v>
      </c>
      <c r="H96">
        <f>-MAX(MIN(20,20-10*LOG10(2*Masks[[#This Row],[f]]/480000000)),12-3)</f>
        <v>-9</v>
      </c>
      <c r="I96">
        <f>10*LOG10(POWER(10,Tx_power_us/10)/F_Nyquist_us)+IF(Masks[[#This Row],[f]]&gt;F_Nyquist_us,-50)</f>
        <v>-98.470325397914564</v>
      </c>
      <c r="J96" s="3">
        <f>10*LOG10(POWER(10,Tx_power_ds/10)/F_Nyquist_ds)+IF(Masks[[#This Row],[f]]&gt;F_Nyquist_ds,-50)</f>
        <v>-98.470325397914564</v>
      </c>
      <c r="K96" s="3">
        <f>IF(Masks[[#This Row],[f]]&gt;F_Nyquist_us,0,1)</f>
        <v>1</v>
      </c>
      <c r="L96" s="3">
        <f>IF(Masks[[#This Row],[f]]&gt;F_Nyquist_ds,0,1)</f>
        <v>1</v>
      </c>
      <c r="M96" s="3">
        <f>Config!B$7</f>
        <v>-40</v>
      </c>
      <c r="N96" s="3">
        <f>IF(Config!B$8&gt;0,10*LOG10($T$1*Masks[[#This Row],[f]]+Config!B$8*0.00073),-1000)</f>
        <v>-11.21506928628696</v>
      </c>
      <c r="O96" s="3">
        <f>10*LOG10((10^(Masks[[#This Row],[wire_echo]]/10))+(10^(Masks[[#This Row],[connector_echo]]/10)))</f>
        <v>-11.209328066838873</v>
      </c>
      <c r="P96" s="65"/>
      <c r="Q96" s="65"/>
    </row>
    <row r="97" spans="1:17" x14ac:dyDescent="0.25">
      <c r="A97" s="2">
        <v>-98.470325397914564</v>
      </c>
      <c r="B97" s="2">
        <v>-98.470325397914564</v>
      </c>
      <c r="D97">
        <f>Calculate[[#This Row],[Freq]]</f>
        <v>4320000000</v>
      </c>
      <c r="E97" s="2">
        <f>MIN(-90, -89-Masks[[#This Row],[f]]/(600000000*S_ch_us),-82-Masks[[#This Row],[f]]/(250000000*S_ch_us))-K_ch_UPSD_us</f>
        <v>-95.85940008672037</v>
      </c>
      <c r="F97" s="2">
        <f>MIN(-90, -89-Masks[[#This Row],[f]]/(600000000*S_ch_ds),-82-Masks[[#This Row],[f]]/(250000000*S_ch_ds))-K_ch_UPSD_ds</f>
        <v>-95.85940008672037</v>
      </c>
      <c r="G97">
        <f>-MAX(MIN(20,20-10*LOG10(2*Masks[[#This Row],[f]]/480000000)),12-3)</f>
        <v>-9</v>
      </c>
      <c r="H97">
        <f>-MAX(MIN(20,20-10*LOG10(2*Masks[[#This Row],[f]]/480000000)),12-3)</f>
        <v>-9</v>
      </c>
      <c r="I97">
        <f>10*LOG10(POWER(10,Tx_power_us/10)/F_Nyquist_us)+IF(Masks[[#This Row],[f]]&gt;F_Nyquist_us,-50)</f>
        <v>-98.470325397914564</v>
      </c>
      <c r="J97" s="3">
        <f>10*LOG10(POWER(10,Tx_power_ds/10)/F_Nyquist_ds)+IF(Masks[[#This Row],[f]]&gt;F_Nyquist_ds,-50)</f>
        <v>-98.470325397914564</v>
      </c>
      <c r="K97" s="3">
        <f>IF(Masks[[#This Row],[f]]&gt;F_Nyquist_us,0,1)</f>
        <v>1</v>
      </c>
      <c r="L97" s="3">
        <f>IF(Masks[[#This Row],[f]]&gt;F_Nyquist_ds,0,1)</f>
        <v>1</v>
      </c>
      <c r="M97" s="3">
        <f>Config!B$7</f>
        <v>-40</v>
      </c>
      <c r="N97" s="3">
        <f>IF(Config!B$8&gt;0,10*LOG10($T$1*Masks[[#This Row],[f]]+Config!B$8*0.00073),-1000)</f>
        <v>-11.171340802783709</v>
      </c>
      <c r="O97" s="3">
        <f>10*LOG10((10^(Masks[[#This Row],[wire_echo]]/10))+(10^(Masks[[#This Row],[connector_echo]]/10)))</f>
        <v>-11.16565706316991</v>
      </c>
      <c r="P97" s="65"/>
      <c r="Q97" s="65"/>
    </row>
    <row r="98" spans="1:17" x14ac:dyDescent="0.25">
      <c r="A98" s="2">
        <v>-98.470325397914564</v>
      </c>
      <c r="B98" s="2">
        <v>-98.470325397914564</v>
      </c>
      <c r="D98">
        <f>Calculate[[#This Row],[Freq]]</f>
        <v>4365000000</v>
      </c>
      <c r="E98" s="2">
        <f>MIN(-90, -89-Masks[[#This Row],[f]]/(600000000*S_ch_us),-82-Masks[[#This Row],[f]]/(250000000*S_ch_us))-K_ch_UPSD_us</f>
        <v>-95.889400086720372</v>
      </c>
      <c r="F98" s="2">
        <f>MIN(-90, -89-Masks[[#This Row],[f]]/(600000000*S_ch_ds),-82-Masks[[#This Row],[f]]/(250000000*S_ch_ds))-K_ch_UPSD_ds</f>
        <v>-95.889400086720372</v>
      </c>
      <c r="G98">
        <f>-MAX(MIN(20,20-10*LOG10(2*Masks[[#This Row],[f]]/480000000)),12-3)</f>
        <v>-9</v>
      </c>
      <c r="H98">
        <f>-MAX(MIN(20,20-10*LOG10(2*Masks[[#This Row],[f]]/480000000)),12-3)</f>
        <v>-9</v>
      </c>
      <c r="I98">
        <f>10*LOG10(POWER(10,Tx_power_us/10)/F_Nyquist_us)+IF(Masks[[#This Row],[f]]&gt;F_Nyquist_us,-50)</f>
        <v>-98.470325397914564</v>
      </c>
      <c r="J98" s="3">
        <f>10*LOG10(POWER(10,Tx_power_ds/10)/F_Nyquist_ds)+IF(Masks[[#This Row],[f]]&gt;F_Nyquist_ds,-50)</f>
        <v>-98.470325397914564</v>
      </c>
      <c r="K98" s="3">
        <f>IF(Masks[[#This Row],[f]]&gt;F_Nyquist_us,0,1)</f>
        <v>1</v>
      </c>
      <c r="L98" s="3">
        <f>IF(Masks[[#This Row],[f]]&gt;F_Nyquist_ds,0,1)</f>
        <v>1</v>
      </c>
      <c r="M98" s="3">
        <f>Config!B$7</f>
        <v>-40</v>
      </c>
      <c r="N98" s="3">
        <f>IF(Config!B$8&gt;0,10*LOG10($T$1*Masks[[#This Row],[f]]+Config!B$8*0.00073),-1000)</f>
        <v>-11.128048229587019</v>
      </c>
      <c r="O98" s="3">
        <f>10*LOG10((10^(Masks[[#This Row],[wire_echo]]/10))+(10^(Masks[[#This Row],[connector_echo]]/10)))</f>
        <v>-11.122420830265119</v>
      </c>
      <c r="P98" s="65"/>
      <c r="Q98" s="65"/>
    </row>
    <row r="99" spans="1:17" x14ac:dyDescent="0.25">
      <c r="A99" s="2">
        <v>-98.470325397914564</v>
      </c>
      <c r="B99" s="2">
        <v>-98.470325397914564</v>
      </c>
      <c r="D99">
        <f>Calculate[[#This Row],[Freq]]</f>
        <v>4410000000</v>
      </c>
      <c r="E99" s="2">
        <f>MIN(-90, -89-Masks[[#This Row],[f]]/(600000000*S_ch_us),-82-Masks[[#This Row],[f]]/(250000000*S_ch_us))-K_ch_UPSD_us</f>
        <v>-95.919400086720373</v>
      </c>
      <c r="F99" s="2">
        <f>MIN(-90, -89-Masks[[#This Row],[f]]/(600000000*S_ch_ds),-82-Masks[[#This Row],[f]]/(250000000*S_ch_ds))-K_ch_UPSD_ds</f>
        <v>-95.919400086720373</v>
      </c>
      <c r="G99">
        <f>-MAX(MIN(20,20-10*LOG10(2*Masks[[#This Row],[f]]/480000000)),12-3)</f>
        <v>-9</v>
      </c>
      <c r="H99">
        <f>-MAX(MIN(20,20-10*LOG10(2*Masks[[#This Row],[f]]/480000000)),12-3)</f>
        <v>-9</v>
      </c>
      <c r="I99">
        <f>10*LOG10(POWER(10,Tx_power_us/10)/F_Nyquist_us)+IF(Masks[[#This Row],[f]]&gt;F_Nyquist_us,-50)</f>
        <v>-98.470325397914564</v>
      </c>
      <c r="J99" s="3">
        <f>10*LOG10(POWER(10,Tx_power_ds/10)/F_Nyquist_ds)+IF(Masks[[#This Row],[f]]&gt;F_Nyquist_ds,-50)</f>
        <v>-98.470325397914564</v>
      </c>
      <c r="K99" s="3">
        <f>IF(Masks[[#This Row],[f]]&gt;F_Nyquist_us,0,1)</f>
        <v>1</v>
      </c>
      <c r="L99" s="3">
        <f>IF(Masks[[#This Row],[f]]&gt;F_Nyquist_ds,0,1)</f>
        <v>1</v>
      </c>
      <c r="M99" s="3">
        <f>Config!B$7</f>
        <v>-40</v>
      </c>
      <c r="N99" s="3">
        <f>IF(Config!B$8&gt;0,10*LOG10($T$1*Masks[[#This Row],[f]]+Config!B$8*0.00073),-1000)</f>
        <v>-11.085182961604801</v>
      </c>
      <c r="O99" s="3">
        <f>10*LOG10((10^(Masks[[#This Row],[wire_echo]]/10))+(10^(Masks[[#This Row],[connector_echo]]/10)))</f>
        <v>-11.079610796587085</v>
      </c>
      <c r="P99" s="65"/>
      <c r="Q99" s="65"/>
    </row>
    <row r="100" spans="1:17" x14ac:dyDescent="0.25">
      <c r="A100" s="2">
        <v>-98.470325397914564</v>
      </c>
      <c r="B100" s="2">
        <v>-98.470325397914564</v>
      </c>
      <c r="D100">
        <f>Calculate[[#This Row],[Freq]]</f>
        <v>4455000000</v>
      </c>
      <c r="E100" s="2">
        <f>MIN(-90, -89-Masks[[#This Row],[f]]/(600000000*S_ch_us),-82-Masks[[#This Row],[f]]/(250000000*S_ch_us))-K_ch_UPSD_us</f>
        <v>-95.949400086720374</v>
      </c>
      <c r="F100" s="2">
        <f>MIN(-90, -89-Masks[[#This Row],[f]]/(600000000*S_ch_ds),-82-Masks[[#This Row],[f]]/(250000000*S_ch_ds))-K_ch_UPSD_ds</f>
        <v>-95.949400086720374</v>
      </c>
      <c r="G100">
        <f>-MAX(MIN(20,20-10*LOG10(2*Masks[[#This Row],[f]]/480000000)),12-3)</f>
        <v>-9</v>
      </c>
      <c r="H100">
        <f>-MAX(MIN(20,20-10*LOG10(2*Masks[[#This Row],[f]]/480000000)),12-3)</f>
        <v>-9</v>
      </c>
      <c r="I100">
        <f>10*LOG10(POWER(10,Tx_power_us/10)/F_Nyquist_us)+IF(Masks[[#This Row],[f]]&gt;F_Nyquist_us,-50)</f>
        <v>-98.470325397914564</v>
      </c>
      <c r="J100" s="3">
        <f>10*LOG10(POWER(10,Tx_power_ds/10)/F_Nyquist_ds)+IF(Masks[[#This Row],[f]]&gt;F_Nyquist_ds,-50)</f>
        <v>-98.470325397914564</v>
      </c>
      <c r="K100" s="3">
        <f>IF(Masks[[#This Row],[f]]&gt;F_Nyquist_us,0,1)</f>
        <v>1</v>
      </c>
      <c r="L100" s="3">
        <f>IF(Masks[[#This Row],[f]]&gt;F_Nyquist_ds,0,1)</f>
        <v>1</v>
      </c>
      <c r="M100" s="3">
        <f>Config!B$7</f>
        <v>-40</v>
      </c>
      <c r="N100" s="3">
        <f>IF(Config!B$8&gt;0,10*LOG10($T$1*Masks[[#This Row],[f]]+Config!B$8*0.00073),-1000)</f>
        <v>-11.042736646059943</v>
      </c>
      <c r="O100" s="3">
        <f>10*LOG10((10^(Masks[[#This Row],[wire_echo]]/10))+(10^(Masks[[#This Row],[connector_echo]]/10)))</f>
        <v>-11.037218641608789</v>
      </c>
      <c r="P100" s="65"/>
      <c r="Q100" s="65"/>
    </row>
    <row r="101" spans="1:17" x14ac:dyDescent="0.25">
      <c r="A101" s="2">
        <v>-98.470325397914564</v>
      </c>
      <c r="B101" s="2">
        <v>-98.470325397914564</v>
      </c>
      <c r="D101">
        <f>Calculate[[#This Row],[Freq]]</f>
        <v>4500000000</v>
      </c>
      <c r="E101" s="2">
        <f>MIN(-90, -89-Masks[[#This Row],[f]]/(600000000*S_ch_us),-82-Masks[[#This Row],[f]]/(250000000*S_ch_us))-K_ch_UPSD_us</f>
        <v>-95.979400086720375</v>
      </c>
      <c r="F101" s="2">
        <f>MIN(-90, -89-Masks[[#This Row],[f]]/(600000000*S_ch_ds),-82-Masks[[#This Row],[f]]/(250000000*S_ch_ds))-K_ch_UPSD_ds</f>
        <v>-95.979400086720375</v>
      </c>
      <c r="G101">
        <f>-MAX(MIN(20,20-10*LOG10(2*Masks[[#This Row],[f]]/480000000)),12-3)</f>
        <v>-9</v>
      </c>
      <c r="H101">
        <f>-MAX(MIN(20,20-10*LOG10(2*Masks[[#This Row],[f]]/480000000)),12-3)</f>
        <v>-9</v>
      </c>
      <c r="I101">
        <f>10*LOG10(POWER(10,Tx_power_us/10)/F_Nyquist_us)+IF(Masks[[#This Row],[f]]&gt;F_Nyquist_us,-50)</f>
        <v>-98.470325397914564</v>
      </c>
      <c r="J101" s="3">
        <f>10*LOG10(POWER(10,Tx_power_ds/10)/F_Nyquist_ds)+IF(Masks[[#This Row],[f]]&gt;F_Nyquist_ds,-50)</f>
        <v>-98.470325397914564</v>
      </c>
      <c r="K101" s="3">
        <f>IF(Masks[[#This Row],[f]]&gt;F_Nyquist_us,0,1)</f>
        <v>1</v>
      </c>
      <c r="L101" s="3">
        <f>IF(Masks[[#This Row],[f]]&gt;F_Nyquist_ds,0,1)</f>
        <v>1</v>
      </c>
      <c r="M101" s="3">
        <f>Config!B$7</f>
        <v>-40</v>
      </c>
      <c r="N101" s="3">
        <f>IF(Config!B$8&gt;0,10*LOG10($T$1*Masks[[#This Row],[f]]+Config!B$8*0.00073),-1000)</f>
        <v>-11.000701172721358</v>
      </c>
      <c r="O101" s="3">
        <f>10*LOG10((10^(Masks[[#This Row],[wire_echo]]/10))+(10^(Masks[[#This Row],[connector_echo]]/10)))</f>
        <v>-10.995236286107433</v>
      </c>
      <c r="P101" s="65"/>
      <c r="Q101" s="65"/>
    </row>
    <row r="102" spans="1:17" x14ac:dyDescent="0.25">
      <c r="A102" s="2">
        <v>-98.470325397914564</v>
      </c>
      <c r="B102" s="2">
        <v>-98.470325397914564</v>
      </c>
      <c r="D102">
        <f>Calculate[[#This Row],[Freq]]</f>
        <v>4545000000</v>
      </c>
      <c r="E102" s="2">
        <f>MIN(-90, -89-Masks[[#This Row],[f]]/(600000000*S_ch_us),-82-Masks[[#This Row],[f]]/(250000000*S_ch_us))-K_ch_UPSD_us</f>
        <v>-96.009400086720376</v>
      </c>
      <c r="F102" s="2">
        <f>MIN(-90, -89-Masks[[#This Row],[f]]/(600000000*S_ch_ds),-82-Masks[[#This Row],[f]]/(250000000*S_ch_ds))-K_ch_UPSD_ds</f>
        <v>-96.009400086720376</v>
      </c>
      <c r="G102">
        <f>-MAX(MIN(20,20-10*LOG10(2*Masks[[#This Row],[f]]/480000000)),12-3)</f>
        <v>-9</v>
      </c>
      <c r="H102">
        <f>-MAX(MIN(20,20-10*LOG10(2*Masks[[#This Row],[f]]/480000000)),12-3)</f>
        <v>-9</v>
      </c>
      <c r="I102">
        <f>10*LOG10(POWER(10,Tx_power_us/10)/F_Nyquist_us)+IF(Masks[[#This Row],[f]]&gt;F_Nyquist_us,-50)</f>
        <v>-98.470325397914564</v>
      </c>
      <c r="J102" s="3">
        <f>10*LOG10(POWER(10,Tx_power_ds/10)/F_Nyquist_ds)+IF(Masks[[#This Row],[f]]&gt;F_Nyquist_ds,-50)</f>
        <v>-98.470325397914564</v>
      </c>
      <c r="K102" s="3">
        <f>IF(Masks[[#This Row],[f]]&gt;F_Nyquist_us,0,1)</f>
        <v>1</v>
      </c>
      <c r="L102" s="3">
        <f>IF(Masks[[#This Row],[f]]&gt;F_Nyquist_ds,0,1)</f>
        <v>1</v>
      </c>
      <c r="M102" s="3">
        <f>Config!B$7</f>
        <v>-40</v>
      </c>
      <c r="N102" s="3">
        <f>IF(Config!B$8&gt;0,10*LOG10($T$1*Masks[[#This Row],[f]]+Config!B$8*0.00073),-1000)</f>
        <v>-10.959068664603269</v>
      </c>
      <c r="O102" s="3">
        <f>10*LOG10((10^(Masks[[#This Row],[wire_echo]]/10))+(10^(Masks[[#This Row],[connector_echo]]/10)))</f>
        <v>-10.953655882922941</v>
      </c>
      <c r="P102" s="65"/>
      <c r="Q102" s="65"/>
    </row>
    <row r="103" spans="1:17" x14ac:dyDescent="0.25">
      <c r="A103" s="2">
        <v>-98.470325397914564</v>
      </c>
      <c r="B103" s="2">
        <v>-98.470325397914564</v>
      </c>
      <c r="D103">
        <f>Calculate[[#This Row],[Freq]]</f>
        <v>4590000000</v>
      </c>
      <c r="E103" s="2">
        <f>MIN(-90, -89-Masks[[#This Row],[f]]/(600000000*S_ch_us),-82-Masks[[#This Row],[f]]/(250000000*S_ch_us))-K_ch_UPSD_us</f>
        <v>-96.039400086720377</v>
      </c>
      <c r="F103" s="2">
        <f>MIN(-90, -89-Masks[[#This Row],[f]]/(600000000*S_ch_ds),-82-Masks[[#This Row],[f]]/(250000000*S_ch_ds))-K_ch_UPSD_ds</f>
        <v>-96.039400086720377</v>
      </c>
      <c r="G103">
        <f>-MAX(MIN(20,20-10*LOG10(2*Masks[[#This Row],[f]]/480000000)),12-3)</f>
        <v>-9</v>
      </c>
      <c r="H103">
        <f>-MAX(MIN(20,20-10*LOG10(2*Masks[[#This Row],[f]]/480000000)),12-3)</f>
        <v>-9</v>
      </c>
      <c r="I103">
        <f>10*LOG10(POWER(10,Tx_power_us/10)/F_Nyquist_us)+IF(Masks[[#This Row],[f]]&gt;F_Nyquist_us,-50)</f>
        <v>-98.470325397914564</v>
      </c>
      <c r="J103" s="3">
        <f>10*LOG10(POWER(10,Tx_power_ds/10)/F_Nyquist_ds)+IF(Masks[[#This Row],[f]]&gt;F_Nyquist_ds,-50)</f>
        <v>-98.470325397914564</v>
      </c>
      <c r="K103" s="3">
        <f>IF(Masks[[#This Row],[f]]&gt;F_Nyquist_us,0,1)</f>
        <v>1</v>
      </c>
      <c r="L103" s="3">
        <f>IF(Masks[[#This Row],[f]]&gt;F_Nyquist_ds,0,1)</f>
        <v>1</v>
      </c>
      <c r="M103" s="3">
        <f>Config!B$7</f>
        <v>-40</v>
      </c>
      <c r="N103" s="3">
        <f>IF(Config!B$8&gt;0,10*LOG10($T$1*Masks[[#This Row],[f]]+Config!B$8*0.00073),-1000)</f>
        <v>-10.917831469106074</v>
      </c>
      <c r="O103" s="3">
        <f>10*LOG10((10^(Masks[[#This Row],[wire_echo]]/10))+(10^(Masks[[#This Row],[connector_echo]]/10)))</f>
        <v>-10.912469808154663</v>
      </c>
      <c r="P103" s="65"/>
      <c r="Q103" s="65"/>
    </row>
    <row r="104" spans="1:17" x14ac:dyDescent="0.25">
      <c r="A104" s="2">
        <v>-98.470325397914564</v>
      </c>
      <c r="B104" s="2">
        <v>-98.470325397914564</v>
      </c>
      <c r="D104">
        <f>Calculate[[#This Row],[Freq]]</f>
        <v>4635000000</v>
      </c>
      <c r="E104" s="2">
        <f>MIN(-90, -89-Masks[[#This Row],[f]]/(600000000*S_ch_us),-82-Masks[[#This Row],[f]]/(250000000*S_ch_us))-K_ch_UPSD_us</f>
        <v>-96.069400086720378</v>
      </c>
      <c r="F104" s="2">
        <f>MIN(-90, -89-Masks[[#This Row],[f]]/(600000000*S_ch_ds),-82-Masks[[#This Row],[f]]/(250000000*S_ch_ds))-K_ch_UPSD_ds</f>
        <v>-96.069400086720378</v>
      </c>
      <c r="G104">
        <f>-MAX(MIN(20,20-10*LOG10(2*Masks[[#This Row],[f]]/480000000)),12-3)</f>
        <v>-9</v>
      </c>
      <c r="H104">
        <f>-MAX(MIN(20,20-10*LOG10(2*Masks[[#This Row],[f]]/480000000)),12-3)</f>
        <v>-9</v>
      </c>
      <c r="I104">
        <f>10*LOG10(POWER(10,Tx_power_us/10)/F_Nyquist_us)+IF(Masks[[#This Row],[f]]&gt;F_Nyquist_us,-50)</f>
        <v>-98.470325397914564</v>
      </c>
      <c r="J104" s="3">
        <f>10*LOG10(POWER(10,Tx_power_ds/10)/F_Nyquist_ds)+IF(Masks[[#This Row],[f]]&gt;F_Nyquist_ds,-50)</f>
        <v>-98.470325397914564</v>
      </c>
      <c r="K104" s="3">
        <f>IF(Masks[[#This Row],[f]]&gt;F_Nyquist_us,0,1)</f>
        <v>1</v>
      </c>
      <c r="L104" s="3">
        <f>IF(Masks[[#This Row],[f]]&gt;F_Nyquist_ds,0,1)</f>
        <v>1</v>
      </c>
      <c r="M104" s="3">
        <f>Config!B$7</f>
        <v>-40</v>
      </c>
      <c r="N104" s="3">
        <f>IF(Config!B$8&gt;0,10*LOG10($T$1*Masks[[#This Row],[f]]+Config!B$8*0.00073),-1000)</f>
        <v>-10.876982149573884</v>
      </c>
      <c r="O104" s="3">
        <f>10*LOG10((10^(Masks[[#This Row],[wire_echo]]/10))+(10^(Masks[[#This Row],[connector_echo]]/10)))</f>
        <v>-10.871670652771622</v>
      </c>
      <c r="P104" s="65"/>
      <c r="Q104" s="65"/>
    </row>
    <row r="105" spans="1:17" x14ac:dyDescent="0.25">
      <c r="A105" s="2">
        <v>-98.470325397914564</v>
      </c>
      <c r="B105" s="2">
        <v>-98.470325397914564</v>
      </c>
      <c r="D105">
        <f>Calculate[[#This Row],[Freq]]</f>
        <v>4680000000</v>
      </c>
      <c r="E105" s="2">
        <f>MIN(-90, -89-Masks[[#This Row],[f]]/(600000000*S_ch_us),-82-Masks[[#This Row],[f]]/(250000000*S_ch_us))-K_ch_UPSD_us</f>
        <v>-96.099400086720379</v>
      </c>
      <c r="F105" s="2">
        <f>MIN(-90, -89-Masks[[#This Row],[f]]/(600000000*S_ch_ds),-82-Masks[[#This Row],[f]]/(250000000*S_ch_ds))-K_ch_UPSD_ds</f>
        <v>-96.099400086720379</v>
      </c>
      <c r="G105">
        <f>-MAX(MIN(20,20-10*LOG10(2*Masks[[#This Row],[f]]/480000000)),12-3)</f>
        <v>-9</v>
      </c>
      <c r="H105">
        <f>-MAX(MIN(20,20-10*LOG10(2*Masks[[#This Row],[f]]/480000000)),12-3)</f>
        <v>-9</v>
      </c>
      <c r="I105">
        <f>10*LOG10(POWER(10,Tx_power_us/10)/F_Nyquist_us)+IF(Masks[[#This Row],[f]]&gt;F_Nyquist_us,-50)</f>
        <v>-98.470325397914564</v>
      </c>
      <c r="J105" s="3">
        <f>10*LOG10(POWER(10,Tx_power_ds/10)/F_Nyquist_ds)+IF(Masks[[#This Row],[f]]&gt;F_Nyquist_ds,-50)</f>
        <v>-98.470325397914564</v>
      </c>
      <c r="K105" s="3">
        <f>IF(Masks[[#This Row],[f]]&gt;F_Nyquist_us,0,1)</f>
        <v>1</v>
      </c>
      <c r="L105" s="3">
        <f>IF(Masks[[#This Row],[f]]&gt;F_Nyquist_ds,0,1)</f>
        <v>1</v>
      </c>
      <c r="M105" s="3">
        <f>Config!B$7</f>
        <v>-40</v>
      </c>
      <c r="N105" s="3">
        <f>IF(Config!B$8&gt;0,10*LOG10($T$1*Masks[[#This Row],[f]]+Config!B$8*0.00073),-1000)</f>
        <v>-10.836513477245401</v>
      </c>
      <c r="O105" s="3">
        <f>10*LOG10((10^(Masks[[#This Row],[wire_echo]]/10))+(10^(Masks[[#This Row],[connector_echo]]/10)))</f>
        <v>-10.831251214613168</v>
      </c>
      <c r="P105" s="65"/>
      <c r="Q105" s="65"/>
    </row>
    <row r="106" spans="1:17" x14ac:dyDescent="0.25">
      <c r="A106" s="2">
        <v>-98.470325397914564</v>
      </c>
      <c r="B106" s="2">
        <v>-98.470325397914564</v>
      </c>
      <c r="D106">
        <f>Calculate[[#This Row],[Freq]]</f>
        <v>4725000000</v>
      </c>
      <c r="E106" s="2">
        <f>MIN(-90, -89-Masks[[#This Row],[f]]/(600000000*S_ch_us),-82-Masks[[#This Row],[f]]/(250000000*S_ch_us))-K_ch_UPSD_us</f>
        <v>-96.129400086720381</v>
      </c>
      <c r="F106" s="2">
        <f>MIN(-90, -89-Masks[[#This Row],[f]]/(600000000*S_ch_ds),-82-Masks[[#This Row],[f]]/(250000000*S_ch_ds))-K_ch_UPSD_ds</f>
        <v>-96.129400086720381</v>
      </c>
      <c r="G106">
        <f>-MAX(MIN(20,20-10*LOG10(2*Masks[[#This Row],[f]]/480000000)),12-3)</f>
        <v>-9</v>
      </c>
      <c r="H106">
        <f>-MAX(MIN(20,20-10*LOG10(2*Masks[[#This Row],[f]]/480000000)),12-3)</f>
        <v>-9</v>
      </c>
      <c r="I106">
        <f>10*LOG10(POWER(10,Tx_power_us/10)/F_Nyquist_us)+IF(Masks[[#This Row],[f]]&gt;F_Nyquist_us,-50)</f>
        <v>-98.470325397914564</v>
      </c>
      <c r="J106" s="3">
        <f>10*LOG10(POWER(10,Tx_power_ds/10)/F_Nyquist_ds)+IF(Masks[[#This Row],[f]]&gt;F_Nyquist_ds,-50)</f>
        <v>-98.470325397914564</v>
      </c>
      <c r="K106" s="3">
        <f>IF(Masks[[#This Row],[f]]&gt;F_Nyquist_us,0,1)</f>
        <v>1</v>
      </c>
      <c r="L106" s="3">
        <f>IF(Masks[[#This Row],[f]]&gt;F_Nyquist_ds,0,1)</f>
        <v>1</v>
      </c>
      <c r="M106" s="3">
        <f>Config!B$7</f>
        <v>-40</v>
      </c>
      <c r="N106" s="3">
        <f>IF(Config!B$8&gt;0,10*LOG10($T$1*Masks[[#This Row],[f]]+Config!B$8*0.00073),-1000)</f>
        <v>-10.796418423576366</v>
      </c>
      <c r="O106" s="3">
        <f>10*LOG10((10^(Masks[[#This Row],[wire_echo]]/10))+(10^(Masks[[#This Row],[connector_echo]]/10)))</f>
        <v>-10.791204490758473</v>
      </c>
      <c r="P106" s="65"/>
      <c r="Q106" s="65"/>
    </row>
    <row r="107" spans="1:17" x14ac:dyDescent="0.25">
      <c r="A107" s="2">
        <v>-98.470325397914564</v>
      </c>
      <c r="B107" s="2">
        <v>-98.470325397914564</v>
      </c>
      <c r="D107">
        <f>Calculate[[#This Row],[Freq]]</f>
        <v>4770000000</v>
      </c>
      <c r="E107" s="2">
        <f>MIN(-90, -89-Masks[[#This Row],[f]]/(600000000*S_ch_us),-82-Masks[[#This Row],[f]]/(250000000*S_ch_us))-K_ch_UPSD_us</f>
        <v>-96.159400086720382</v>
      </c>
      <c r="F107" s="2">
        <f>MIN(-90, -89-Masks[[#This Row],[f]]/(600000000*S_ch_ds),-82-Masks[[#This Row],[f]]/(250000000*S_ch_ds))-K_ch_UPSD_ds</f>
        <v>-96.159400086720382</v>
      </c>
      <c r="G107">
        <f>-MAX(MIN(20,20-10*LOG10(2*Masks[[#This Row],[f]]/480000000)),12-3)</f>
        <v>-9</v>
      </c>
      <c r="H107">
        <f>-MAX(MIN(20,20-10*LOG10(2*Masks[[#This Row],[f]]/480000000)),12-3)</f>
        <v>-9</v>
      </c>
      <c r="I107">
        <f>10*LOG10(POWER(10,Tx_power_us/10)/F_Nyquist_us)+IF(Masks[[#This Row],[f]]&gt;F_Nyquist_us,-50)</f>
        <v>-98.470325397914564</v>
      </c>
      <c r="J107" s="3">
        <f>10*LOG10(POWER(10,Tx_power_ds/10)/F_Nyquist_ds)+IF(Masks[[#This Row],[f]]&gt;F_Nyquist_ds,-50)</f>
        <v>-98.470325397914564</v>
      </c>
      <c r="K107" s="3">
        <f>IF(Masks[[#This Row],[f]]&gt;F_Nyquist_us,0,1)</f>
        <v>1</v>
      </c>
      <c r="L107" s="3">
        <f>IF(Masks[[#This Row],[f]]&gt;F_Nyquist_ds,0,1)</f>
        <v>1</v>
      </c>
      <c r="M107" s="3">
        <f>Config!B$7</f>
        <v>-40</v>
      </c>
      <c r="N107" s="3">
        <f>IF(Config!B$8&gt;0,10*LOG10($T$1*Masks[[#This Row],[f]]+Config!B$8*0.00073),-1000)</f>
        <v>-10.756690152913215</v>
      </c>
      <c r="O107" s="3">
        <f>10*LOG10((10^(Masks[[#This Row],[wire_echo]]/10))+(10^(Masks[[#This Row],[connector_echo]]/10)))</f>
        <v>-10.75152367024463</v>
      </c>
      <c r="P107" s="65"/>
      <c r="Q107" s="65"/>
    </row>
    <row r="108" spans="1:17" x14ac:dyDescent="0.25">
      <c r="A108" s="2">
        <v>-98.470325397914564</v>
      </c>
      <c r="B108" s="2">
        <v>-98.470325397914564</v>
      </c>
      <c r="D108">
        <f>Calculate[[#This Row],[Freq]]</f>
        <v>4815000000</v>
      </c>
      <c r="E108" s="2">
        <f>MIN(-90, -89-Masks[[#This Row],[f]]/(600000000*S_ch_us),-82-Masks[[#This Row],[f]]/(250000000*S_ch_us))-K_ch_UPSD_us</f>
        <v>-96.189400086720369</v>
      </c>
      <c r="F108" s="2">
        <f>MIN(-90, -89-Masks[[#This Row],[f]]/(600000000*S_ch_ds),-82-Masks[[#This Row],[f]]/(250000000*S_ch_ds))-K_ch_UPSD_ds</f>
        <v>-96.189400086720369</v>
      </c>
      <c r="G108">
        <f>-MAX(MIN(20,20-10*LOG10(2*Masks[[#This Row],[f]]/480000000)),12-3)</f>
        <v>-9</v>
      </c>
      <c r="H108">
        <f>-MAX(MIN(20,20-10*LOG10(2*Masks[[#This Row],[f]]/480000000)),12-3)</f>
        <v>-9</v>
      </c>
      <c r="I108">
        <f>10*LOG10(POWER(10,Tx_power_us/10)/F_Nyquist_us)+IF(Masks[[#This Row],[f]]&gt;F_Nyquist_us,-50)</f>
        <v>-98.470325397914564</v>
      </c>
      <c r="J108" s="3">
        <f>10*LOG10(POWER(10,Tx_power_ds/10)/F_Nyquist_ds)+IF(Masks[[#This Row],[f]]&gt;F_Nyquist_ds,-50)</f>
        <v>-98.470325397914564</v>
      </c>
      <c r="K108" s="3">
        <f>IF(Masks[[#This Row],[f]]&gt;F_Nyquist_us,0,1)</f>
        <v>1</v>
      </c>
      <c r="L108" s="3">
        <f>IF(Masks[[#This Row],[f]]&gt;F_Nyquist_ds,0,1)</f>
        <v>1</v>
      </c>
      <c r="M108" s="3">
        <f>Config!B$7</f>
        <v>-40</v>
      </c>
      <c r="N108" s="3">
        <f>IF(Config!B$8&gt;0,10*LOG10($T$1*Masks[[#This Row],[f]]+Config!B$8*0.00073),-1000)</f>
        <v>-10.717322015498761</v>
      </c>
      <c r="O108" s="3">
        <f>10*LOG10((10^(Masks[[#This Row],[wire_echo]]/10))+(10^(Masks[[#This Row],[connector_echo]]/10)))</f>
        <v>-10.71220212711442</v>
      </c>
      <c r="P108" s="65"/>
      <c r="Q108" s="65"/>
    </row>
    <row r="109" spans="1:17" x14ac:dyDescent="0.25">
      <c r="A109" s="2">
        <v>-98.470325397914564</v>
      </c>
      <c r="B109" s="2">
        <v>-98.470325397914564</v>
      </c>
      <c r="D109">
        <f>Calculate[[#This Row],[Freq]]</f>
        <v>4860000000</v>
      </c>
      <c r="E109" s="2">
        <f>MIN(-90, -89-Masks[[#This Row],[f]]/(600000000*S_ch_us),-82-Masks[[#This Row],[f]]/(250000000*S_ch_us))-K_ch_UPSD_us</f>
        <v>-96.21940008672037</v>
      </c>
      <c r="F109" s="2">
        <f>MIN(-90, -89-Masks[[#This Row],[f]]/(600000000*S_ch_ds),-82-Masks[[#This Row],[f]]/(250000000*S_ch_ds))-K_ch_UPSD_ds</f>
        <v>-96.21940008672037</v>
      </c>
      <c r="G109">
        <f>-MAX(MIN(20,20-10*LOG10(2*Masks[[#This Row],[f]]/480000000)),12-3)</f>
        <v>-9</v>
      </c>
      <c r="H109">
        <f>-MAX(MIN(20,20-10*LOG10(2*Masks[[#This Row],[f]]/480000000)),12-3)</f>
        <v>-9</v>
      </c>
      <c r="I109">
        <f>10*LOG10(POWER(10,Tx_power_us/10)/F_Nyquist_us)+IF(Masks[[#This Row],[f]]&gt;F_Nyquist_us,-50)</f>
        <v>-98.470325397914564</v>
      </c>
      <c r="J109" s="3">
        <f>10*LOG10(POWER(10,Tx_power_ds/10)/F_Nyquist_ds)+IF(Masks[[#This Row],[f]]&gt;F_Nyquist_ds,-50)</f>
        <v>-98.470325397914564</v>
      </c>
      <c r="K109" s="3">
        <f>IF(Masks[[#This Row],[f]]&gt;F_Nyquist_us,0,1)</f>
        <v>1</v>
      </c>
      <c r="L109" s="3">
        <f>IF(Masks[[#This Row],[f]]&gt;F_Nyquist_ds,0,1)</f>
        <v>1</v>
      </c>
      <c r="M109" s="3">
        <f>Config!B$7</f>
        <v>-40</v>
      </c>
      <c r="N109" s="3">
        <f>IF(Config!B$8&gt;0,10*LOG10($T$1*Masks[[#This Row],[f]]+Config!B$8*0.00073),-1000)</f>
        <v>-10.678307540792078</v>
      </c>
      <c r="O109" s="3">
        <f>10*LOG10((10^(Masks[[#This Row],[wire_echo]]/10))+(10^(Masks[[#This Row],[connector_echo]]/10)))</f>
        <v>-10.673233413775996</v>
      </c>
      <c r="P109" s="65"/>
      <c r="Q109" s="65"/>
    </row>
    <row r="110" spans="1:17" x14ac:dyDescent="0.25">
      <c r="A110" s="2">
        <v>-98.470325397914564</v>
      </c>
      <c r="B110" s="2">
        <v>-98.470325397914564</v>
      </c>
      <c r="D110">
        <f>Calculate[[#This Row],[Freq]]</f>
        <v>4905000000</v>
      </c>
      <c r="E110" s="2">
        <f>MIN(-90, -89-Masks[[#This Row],[f]]/(600000000*S_ch_us),-82-Masks[[#This Row],[f]]/(250000000*S_ch_us))-K_ch_UPSD_us</f>
        <v>-96.249400086720371</v>
      </c>
      <c r="F110" s="2">
        <f>MIN(-90, -89-Masks[[#This Row],[f]]/(600000000*S_ch_ds),-82-Masks[[#This Row],[f]]/(250000000*S_ch_ds))-K_ch_UPSD_ds</f>
        <v>-96.249400086720371</v>
      </c>
      <c r="G110">
        <f>-MAX(MIN(20,20-10*LOG10(2*Masks[[#This Row],[f]]/480000000)),12-3)</f>
        <v>-9</v>
      </c>
      <c r="H110">
        <f>-MAX(MIN(20,20-10*LOG10(2*Masks[[#This Row],[f]]/480000000)),12-3)</f>
        <v>-9</v>
      </c>
      <c r="I110">
        <f>10*LOG10(POWER(10,Tx_power_us/10)/F_Nyquist_us)+IF(Masks[[#This Row],[f]]&gt;F_Nyquist_us,-50)</f>
        <v>-98.470325397914564</v>
      </c>
      <c r="J110" s="3">
        <f>10*LOG10(POWER(10,Tx_power_ds/10)/F_Nyquist_ds)+IF(Masks[[#This Row],[f]]&gt;F_Nyquist_ds,-50)</f>
        <v>-98.470325397914564</v>
      </c>
      <c r="K110" s="3">
        <f>IF(Masks[[#This Row],[f]]&gt;F_Nyquist_us,0,1)</f>
        <v>1</v>
      </c>
      <c r="L110" s="3">
        <f>IF(Masks[[#This Row],[f]]&gt;F_Nyquist_ds,0,1)</f>
        <v>1</v>
      </c>
      <c r="M110" s="3">
        <f>Config!B$7</f>
        <v>-40</v>
      </c>
      <c r="N110" s="3">
        <f>IF(Config!B$8&gt;0,10*LOG10($T$1*Masks[[#This Row],[f]]+Config!B$8*0.00073),-1000)</f>
        <v>-10.639640431085773</v>
      </c>
      <c r="O110" s="3">
        <f>10*LOG10((10^(Masks[[#This Row],[wire_echo]]/10))+(10^(Masks[[#This Row],[connector_echo]]/10)))</f>
        <v>-10.634611254657829</v>
      </c>
      <c r="P110" s="65"/>
      <c r="Q110" s="65"/>
    </row>
    <row r="111" spans="1:17" x14ac:dyDescent="0.25">
      <c r="A111" s="2">
        <v>-98.470325397914564</v>
      </c>
      <c r="B111" s="2">
        <v>-98.470325397914564</v>
      </c>
      <c r="D111">
        <f>Calculate[[#This Row],[Freq]]</f>
        <v>4950000000</v>
      </c>
      <c r="E111" s="2">
        <f>MIN(-90, -89-Masks[[#This Row],[f]]/(600000000*S_ch_us),-82-Masks[[#This Row],[f]]/(250000000*S_ch_us))-K_ch_UPSD_us</f>
        <v>-96.279400086720372</v>
      </c>
      <c r="F111" s="2">
        <f>MIN(-90, -89-Masks[[#This Row],[f]]/(600000000*S_ch_ds),-82-Masks[[#This Row],[f]]/(250000000*S_ch_ds))-K_ch_UPSD_ds</f>
        <v>-96.279400086720372</v>
      </c>
      <c r="G111">
        <f>-MAX(MIN(20,20-10*LOG10(2*Masks[[#This Row],[f]]/480000000)),12-3)</f>
        <v>-9</v>
      </c>
      <c r="H111">
        <f>-MAX(MIN(20,20-10*LOG10(2*Masks[[#This Row],[f]]/480000000)),12-3)</f>
        <v>-9</v>
      </c>
      <c r="I111">
        <f>10*LOG10(POWER(10,Tx_power_us/10)/F_Nyquist_us)+IF(Masks[[#This Row],[f]]&gt;F_Nyquist_us,-50)</f>
        <v>-98.470325397914564</v>
      </c>
      <c r="J111" s="3">
        <f>10*LOG10(POWER(10,Tx_power_ds/10)/F_Nyquist_ds)+IF(Masks[[#This Row],[f]]&gt;F_Nyquist_ds,-50)</f>
        <v>-98.470325397914564</v>
      </c>
      <c r="K111" s="3">
        <f>IF(Masks[[#This Row],[f]]&gt;F_Nyquist_us,0,1)</f>
        <v>1</v>
      </c>
      <c r="L111" s="3">
        <f>IF(Masks[[#This Row],[f]]&gt;F_Nyquist_ds,0,1)</f>
        <v>1</v>
      </c>
      <c r="M111" s="3">
        <f>Config!B$7</f>
        <v>-40</v>
      </c>
      <c r="N111" s="3">
        <f>IF(Config!B$8&gt;0,10*LOG10($T$1*Masks[[#This Row],[f]]+Config!B$8*0.00073),-1000)</f>
        <v>-10.601314555404901</v>
      </c>
      <c r="O111" s="3">
        <f>10*LOG10((10^(Masks[[#This Row],[wire_echo]]/10))+(10^(Masks[[#This Row],[connector_echo]]/10)))</f>
        <v>-10.596329540143348</v>
      </c>
      <c r="P111" s="65"/>
      <c r="Q111" s="65"/>
    </row>
    <row r="112" spans="1:17" x14ac:dyDescent="0.25">
      <c r="A112" s="2">
        <v>-98.470325397914564</v>
      </c>
      <c r="B112" s="2">
        <v>-98.470325397914564</v>
      </c>
      <c r="D112">
        <f>Calculate[[#This Row],[Freq]]</f>
        <v>4995000000</v>
      </c>
      <c r="E112" s="2">
        <f>MIN(-90, -89-Masks[[#This Row],[f]]/(600000000*S_ch_us),-82-Masks[[#This Row],[f]]/(250000000*S_ch_us))-K_ch_UPSD_us</f>
        <v>-96.309400086720373</v>
      </c>
      <c r="F112" s="2">
        <f>MIN(-90, -89-Masks[[#This Row],[f]]/(600000000*S_ch_ds),-82-Masks[[#This Row],[f]]/(250000000*S_ch_ds))-K_ch_UPSD_ds</f>
        <v>-96.309400086720373</v>
      </c>
      <c r="G112">
        <f>-MAX(MIN(20,20-10*LOG10(2*Masks[[#This Row],[f]]/480000000)),12-3)</f>
        <v>-9</v>
      </c>
      <c r="H112">
        <f>-MAX(MIN(20,20-10*LOG10(2*Masks[[#This Row],[f]]/480000000)),12-3)</f>
        <v>-9</v>
      </c>
      <c r="I112">
        <f>10*LOG10(POWER(10,Tx_power_us/10)/F_Nyquist_us)+IF(Masks[[#This Row],[f]]&gt;F_Nyquist_us,-50)</f>
        <v>-98.470325397914564</v>
      </c>
      <c r="J112" s="3">
        <f>10*LOG10(POWER(10,Tx_power_ds/10)/F_Nyquist_ds)+IF(Masks[[#This Row],[f]]&gt;F_Nyquist_ds,-50)</f>
        <v>-98.470325397914564</v>
      </c>
      <c r="K112" s="3">
        <f>IF(Masks[[#This Row],[f]]&gt;F_Nyquist_us,0,1)</f>
        <v>1</v>
      </c>
      <c r="L112" s="3">
        <f>IF(Masks[[#This Row],[f]]&gt;F_Nyquist_ds,0,1)</f>
        <v>1</v>
      </c>
      <c r="M112" s="3">
        <f>Config!B$7</f>
        <v>-40</v>
      </c>
      <c r="N112" s="3">
        <f>IF(Config!B$8&gt;0,10*LOG10($T$1*Masks[[#This Row],[f]]+Config!B$8*0.00073),-1000)</f>
        <v>-10.563323943672733</v>
      </c>
      <c r="O112" s="3">
        <f>10*LOG10((10^(Masks[[#This Row],[wire_echo]]/10))+(10^(Masks[[#This Row],[connector_echo]]/10)))</f>
        <v>-10.558382320770532</v>
      </c>
      <c r="P112" s="65"/>
      <c r="Q112" s="65"/>
    </row>
    <row r="113" spans="1:17" x14ac:dyDescent="0.25">
      <c r="A113" s="2">
        <v>-98.470325397914564</v>
      </c>
      <c r="B113" s="2">
        <v>-98.470325397914564</v>
      </c>
      <c r="D113">
        <f>Calculate[[#This Row],[Freq]]</f>
        <v>5040000000</v>
      </c>
      <c r="E113" s="2">
        <f>MIN(-90, -89-Masks[[#This Row],[f]]/(600000000*S_ch_us),-82-Masks[[#This Row],[f]]/(250000000*S_ch_us))-K_ch_UPSD_us</f>
        <v>-96.339400086720374</v>
      </c>
      <c r="F113" s="2">
        <f>MIN(-90, -89-Masks[[#This Row],[f]]/(600000000*S_ch_ds),-82-Masks[[#This Row],[f]]/(250000000*S_ch_ds))-K_ch_UPSD_ds</f>
        <v>-96.339400086720374</v>
      </c>
      <c r="G113">
        <f>-MAX(MIN(20,20-10*LOG10(2*Masks[[#This Row],[f]]/480000000)),12-3)</f>
        <v>-9</v>
      </c>
      <c r="H113">
        <f>-MAX(MIN(20,20-10*LOG10(2*Masks[[#This Row],[f]]/480000000)),12-3)</f>
        <v>-9</v>
      </c>
      <c r="I113">
        <f>10*LOG10(POWER(10,Tx_power_us/10)/F_Nyquist_us)+IF(Masks[[#This Row],[f]]&gt;F_Nyquist_us,-50)</f>
        <v>-98.470325397914564</v>
      </c>
      <c r="J113" s="3">
        <f>10*LOG10(POWER(10,Tx_power_ds/10)/F_Nyquist_ds)+IF(Masks[[#This Row],[f]]&gt;F_Nyquist_ds,-50)</f>
        <v>-98.470325397914564</v>
      </c>
      <c r="K113" s="3">
        <f>IF(Masks[[#This Row],[f]]&gt;F_Nyquist_us,0,1)</f>
        <v>1</v>
      </c>
      <c r="L113" s="3">
        <f>IF(Masks[[#This Row],[f]]&gt;F_Nyquist_ds,0,1)</f>
        <v>1</v>
      </c>
      <c r="M113" s="3">
        <f>Config!B$7</f>
        <v>-40</v>
      </c>
      <c r="N113" s="3">
        <f>IF(Config!B$8&gt;0,10*LOG10($T$1*Masks[[#This Row],[f]]+Config!B$8*0.00073),-1000)</f>
        <v>-10.525662781129492</v>
      </c>
      <c r="O113" s="3">
        <f>10*LOG10((10^(Masks[[#This Row],[wire_echo]]/10))+(10^(Masks[[#This Row],[connector_echo]]/10)))</f>
        <v>-10.520763801682737</v>
      </c>
      <c r="P113" s="65"/>
      <c r="Q113" s="65"/>
    </row>
    <row r="114" spans="1:17" x14ac:dyDescent="0.25">
      <c r="A114" s="2">
        <v>-98.470325397914564</v>
      </c>
      <c r="B114" s="2">
        <v>-98.470325397914564</v>
      </c>
      <c r="D114">
        <f>Calculate[[#This Row],[Freq]]</f>
        <v>5085000000</v>
      </c>
      <c r="E114" s="2">
        <f>MIN(-90, -89-Masks[[#This Row],[f]]/(600000000*S_ch_us),-82-Masks[[#This Row],[f]]/(250000000*S_ch_us))-K_ch_UPSD_us</f>
        <v>-96.369400086720375</v>
      </c>
      <c r="F114" s="2">
        <f>MIN(-90, -89-Masks[[#This Row],[f]]/(600000000*S_ch_ds),-82-Masks[[#This Row],[f]]/(250000000*S_ch_ds))-K_ch_UPSD_ds</f>
        <v>-96.369400086720375</v>
      </c>
      <c r="G114">
        <f>-MAX(MIN(20,20-10*LOG10(2*Masks[[#This Row],[f]]/480000000)),12-3)</f>
        <v>-9</v>
      </c>
      <c r="H114">
        <f>-MAX(MIN(20,20-10*LOG10(2*Masks[[#This Row],[f]]/480000000)),12-3)</f>
        <v>-9</v>
      </c>
      <c r="I114">
        <f>10*LOG10(POWER(10,Tx_power_us/10)/F_Nyquist_us)+IF(Masks[[#This Row],[f]]&gt;F_Nyquist_us,-50)</f>
        <v>-98.470325397914564</v>
      </c>
      <c r="J114" s="3">
        <f>10*LOG10(POWER(10,Tx_power_ds/10)/F_Nyquist_ds)+IF(Masks[[#This Row],[f]]&gt;F_Nyquist_ds,-50)</f>
        <v>-98.470325397914564</v>
      </c>
      <c r="K114" s="3">
        <f>IF(Masks[[#This Row],[f]]&gt;F_Nyquist_us,0,1)</f>
        <v>1</v>
      </c>
      <c r="L114" s="3">
        <f>IF(Masks[[#This Row],[f]]&gt;F_Nyquist_ds,0,1)</f>
        <v>1</v>
      </c>
      <c r="M114" s="3">
        <f>Config!B$7</f>
        <v>-40</v>
      </c>
      <c r="N114" s="3">
        <f>IF(Config!B$8&gt;0,10*LOG10($T$1*Masks[[#This Row],[f]]+Config!B$8*0.00073),-1000)</f>
        <v>-10.488325402991048</v>
      </c>
      <c r="O114" s="3">
        <f>10*LOG10((10^(Masks[[#This Row],[wire_echo]]/10))+(10^(Masks[[#This Row],[connector_echo]]/10)))</f>
        <v>-10.483468337317836</v>
      </c>
      <c r="P114" s="65"/>
      <c r="Q114" s="65"/>
    </row>
    <row r="115" spans="1:17" x14ac:dyDescent="0.25">
      <c r="A115" s="2">
        <v>-98.470325397914564</v>
      </c>
      <c r="B115" s="2">
        <v>-98.470325397914564</v>
      </c>
      <c r="D115">
        <f>Calculate[[#This Row],[Freq]]</f>
        <v>5130000000</v>
      </c>
      <c r="E115" s="2">
        <f>MIN(-90, -89-Masks[[#This Row],[f]]/(600000000*S_ch_us),-82-Masks[[#This Row],[f]]/(250000000*S_ch_us))-K_ch_UPSD_us</f>
        <v>-96.399400086720377</v>
      </c>
      <c r="F115" s="2">
        <f>MIN(-90, -89-Masks[[#This Row],[f]]/(600000000*S_ch_ds),-82-Masks[[#This Row],[f]]/(250000000*S_ch_ds))-K_ch_UPSD_ds</f>
        <v>-96.399400086720377</v>
      </c>
      <c r="G115">
        <f>-MAX(MIN(20,20-10*LOG10(2*Masks[[#This Row],[f]]/480000000)),12-3)</f>
        <v>-9</v>
      </c>
      <c r="H115">
        <f>-MAX(MIN(20,20-10*LOG10(2*Masks[[#This Row],[f]]/480000000)),12-3)</f>
        <v>-9</v>
      </c>
      <c r="I115">
        <f>10*LOG10(POWER(10,Tx_power_us/10)/F_Nyquist_us)+IF(Masks[[#This Row],[f]]&gt;F_Nyquist_us,-50)</f>
        <v>-98.470325397914564</v>
      </c>
      <c r="J115" s="3">
        <f>10*LOG10(POWER(10,Tx_power_ds/10)/F_Nyquist_ds)+IF(Masks[[#This Row],[f]]&gt;F_Nyquist_ds,-50)</f>
        <v>-98.470325397914564</v>
      </c>
      <c r="K115" s="3">
        <f>IF(Masks[[#This Row],[f]]&gt;F_Nyquist_us,0,1)</f>
        <v>1</v>
      </c>
      <c r="L115" s="3">
        <f>IF(Masks[[#This Row],[f]]&gt;F_Nyquist_ds,0,1)</f>
        <v>1</v>
      </c>
      <c r="M115" s="3">
        <f>Config!B$7</f>
        <v>-40</v>
      </c>
      <c r="N115" s="3">
        <f>IF(Config!B$8&gt;0,10*LOG10($T$1*Masks[[#This Row],[f]]+Config!B$8*0.00073),-1000)</f>
        <v>-10.451306289335218</v>
      </c>
      <c r="O115" s="3">
        <f>10*LOG10((10^(Masks[[#This Row],[wire_echo]]/10))+(10^(Masks[[#This Row],[connector_echo]]/10)))</f>
        <v>-10.446490426323402</v>
      </c>
      <c r="P115" s="65"/>
      <c r="Q115" s="65"/>
    </row>
    <row r="116" spans="1:17" x14ac:dyDescent="0.25">
      <c r="A116" s="2">
        <v>-98.470325397914564</v>
      </c>
      <c r="B116" s="2">
        <v>-98.470325397914564</v>
      </c>
      <c r="D116">
        <f>Calculate[[#This Row],[Freq]]</f>
        <v>5175000000</v>
      </c>
      <c r="E116" s="2">
        <f>MIN(-90, -89-Masks[[#This Row],[f]]/(600000000*S_ch_us),-82-Masks[[#This Row],[f]]/(250000000*S_ch_us))-K_ch_UPSD_us</f>
        <v>-96.429400086720378</v>
      </c>
      <c r="F116" s="2">
        <f>MIN(-90, -89-Masks[[#This Row],[f]]/(600000000*S_ch_ds),-82-Masks[[#This Row],[f]]/(250000000*S_ch_ds))-K_ch_UPSD_ds</f>
        <v>-96.429400086720378</v>
      </c>
      <c r="G116">
        <f>-MAX(MIN(20,20-10*LOG10(2*Masks[[#This Row],[f]]/480000000)),12-3)</f>
        <v>-9</v>
      </c>
      <c r="H116">
        <f>-MAX(MIN(20,20-10*LOG10(2*Masks[[#This Row],[f]]/480000000)),12-3)</f>
        <v>-9</v>
      </c>
      <c r="I116">
        <f>10*LOG10(POWER(10,Tx_power_us/10)/F_Nyquist_us)+IF(Masks[[#This Row],[f]]&gt;F_Nyquist_us,-50)</f>
        <v>-98.470325397914564</v>
      </c>
      <c r="J116" s="3">
        <f>10*LOG10(POWER(10,Tx_power_ds/10)/F_Nyquist_ds)+IF(Masks[[#This Row],[f]]&gt;F_Nyquist_ds,-50)</f>
        <v>-98.470325397914564</v>
      </c>
      <c r="K116" s="3">
        <f>IF(Masks[[#This Row],[f]]&gt;F_Nyquist_us,0,1)</f>
        <v>1</v>
      </c>
      <c r="L116" s="3">
        <f>IF(Masks[[#This Row],[f]]&gt;F_Nyquist_ds,0,1)</f>
        <v>1</v>
      </c>
      <c r="M116" s="3">
        <f>Config!B$7</f>
        <v>-40</v>
      </c>
      <c r="N116" s="3">
        <f>IF(Config!B$8&gt;0,10*LOG10($T$1*Masks[[#This Row],[f]]+Config!B$8*0.00073),-1000)</f>
        <v>-10.414600060204215</v>
      </c>
      <c r="O116" s="3">
        <f>10*LOG10((10^(Masks[[#This Row],[wire_echo]]/10))+(10^(Masks[[#This Row],[connector_echo]]/10)))</f>
        <v>-10.409824706686596</v>
      </c>
      <c r="P116" s="65"/>
      <c r="Q116" s="65"/>
    </row>
    <row r="117" spans="1:17" x14ac:dyDescent="0.25">
      <c r="A117" s="2">
        <v>-98.470325397914564</v>
      </c>
      <c r="B117" s="2">
        <v>-98.470325397914564</v>
      </c>
      <c r="D117">
        <f>Calculate[[#This Row],[Freq]]</f>
        <v>5220000000</v>
      </c>
      <c r="E117" s="2">
        <f>MIN(-90, -89-Masks[[#This Row],[f]]/(600000000*S_ch_us),-82-Masks[[#This Row],[f]]/(250000000*S_ch_us))-K_ch_UPSD_us</f>
        <v>-96.459400086720379</v>
      </c>
      <c r="F117" s="2">
        <f>MIN(-90, -89-Masks[[#This Row],[f]]/(600000000*S_ch_ds),-82-Masks[[#This Row],[f]]/(250000000*S_ch_ds))-K_ch_UPSD_ds</f>
        <v>-96.459400086720379</v>
      </c>
      <c r="G117">
        <f>-MAX(MIN(20,20-10*LOG10(2*Masks[[#This Row],[f]]/480000000)),12-3)</f>
        <v>-9</v>
      </c>
      <c r="H117">
        <f>-MAX(MIN(20,20-10*LOG10(2*Masks[[#This Row],[f]]/480000000)),12-3)</f>
        <v>-9</v>
      </c>
      <c r="I117">
        <f>10*LOG10(POWER(10,Tx_power_us/10)/F_Nyquist_us)+IF(Masks[[#This Row],[f]]&gt;F_Nyquist_us,-50)</f>
        <v>-98.470325397914564</v>
      </c>
      <c r="J117" s="3">
        <f>10*LOG10(POWER(10,Tx_power_ds/10)/F_Nyquist_ds)+IF(Masks[[#This Row],[f]]&gt;F_Nyquist_ds,-50)</f>
        <v>-98.470325397914564</v>
      </c>
      <c r="K117" s="3">
        <f>IF(Masks[[#This Row],[f]]&gt;F_Nyquist_us,0,1)</f>
        <v>1</v>
      </c>
      <c r="L117" s="3">
        <f>IF(Masks[[#This Row],[f]]&gt;F_Nyquist_ds,0,1)</f>
        <v>1</v>
      </c>
      <c r="M117" s="3">
        <f>Config!B$7</f>
        <v>-40</v>
      </c>
      <c r="N117" s="3">
        <f>IF(Config!B$8&gt;0,10*LOG10($T$1*Masks[[#This Row],[f]]+Config!B$8*0.00073),-1000)</f>
        <v>-10.378201470912323</v>
      </c>
      <c r="O117" s="3">
        <f>10*LOG10((10^(Masks[[#This Row],[wire_echo]]/10))+(10^(Masks[[#This Row],[connector_echo]]/10)))</f>
        <v>-10.373465951067891</v>
      </c>
      <c r="P117" s="65"/>
      <c r="Q117" s="65"/>
    </row>
    <row r="118" spans="1:17" x14ac:dyDescent="0.25">
      <c r="A118" s="2">
        <v>-98.470325397914564</v>
      </c>
      <c r="B118" s="2">
        <v>-98.470325397914564</v>
      </c>
      <c r="D118">
        <f>Calculate[[#This Row],[Freq]]</f>
        <v>5265000000</v>
      </c>
      <c r="E118" s="2">
        <f>MIN(-90, -89-Masks[[#This Row],[f]]/(600000000*S_ch_us),-82-Masks[[#This Row],[f]]/(250000000*S_ch_us))-K_ch_UPSD_us</f>
        <v>-96.48940008672038</v>
      </c>
      <c r="F118" s="2">
        <f>MIN(-90, -89-Masks[[#This Row],[f]]/(600000000*S_ch_ds),-82-Masks[[#This Row],[f]]/(250000000*S_ch_ds))-K_ch_UPSD_ds</f>
        <v>-96.48940008672038</v>
      </c>
      <c r="G118">
        <f>-MAX(MIN(20,20-10*LOG10(2*Masks[[#This Row],[f]]/480000000)),12-3)</f>
        <v>-9</v>
      </c>
      <c r="H118">
        <f>-MAX(MIN(20,20-10*LOG10(2*Masks[[#This Row],[f]]/480000000)),12-3)</f>
        <v>-9</v>
      </c>
      <c r="I118">
        <f>10*LOG10(POWER(10,Tx_power_us/10)/F_Nyquist_us)+IF(Masks[[#This Row],[f]]&gt;F_Nyquist_us,-50)</f>
        <v>-98.470325397914564</v>
      </c>
      <c r="J118" s="3">
        <f>10*LOG10(POWER(10,Tx_power_ds/10)/F_Nyquist_ds)+IF(Masks[[#This Row],[f]]&gt;F_Nyquist_ds,-50)</f>
        <v>-98.470325397914564</v>
      </c>
      <c r="K118" s="3">
        <f>IF(Masks[[#This Row],[f]]&gt;F_Nyquist_us,0,1)</f>
        <v>1</v>
      </c>
      <c r="L118" s="3">
        <f>IF(Masks[[#This Row],[f]]&gt;F_Nyquist_ds,0,1)</f>
        <v>1</v>
      </c>
      <c r="M118" s="3">
        <f>Config!B$7</f>
        <v>-40</v>
      </c>
      <c r="N118" s="3">
        <f>IF(Config!B$8&gt;0,10*LOG10($T$1*Masks[[#This Row],[f]]+Config!B$8*0.00073),-1000)</f>
        <v>-10.342105407548557</v>
      </c>
      <c r="O118" s="3">
        <f>10*LOG10((10^(Masks[[#This Row],[wire_echo]]/10))+(10^(Masks[[#This Row],[connector_echo]]/10)))</f>
        <v>-10.337409062328508</v>
      </c>
      <c r="P118" s="65"/>
      <c r="Q118" s="65"/>
    </row>
    <row r="119" spans="1:17" x14ac:dyDescent="0.25">
      <c r="A119" s="2">
        <v>-98.470325397914564</v>
      </c>
      <c r="B119" s="2">
        <v>-98.470325397914564</v>
      </c>
      <c r="D119">
        <f>Calculate[[#This Row],[Freq]]</f>
        <v>5310000000</v>
      </c>
      <c r="E119" s="2">
        <f>MIN(-90, -89-Masks[[#This Row],[f]]/(600000000*S_ch_us),-82-Masks[[#This Row],[f]]/(250000000*S_ch_us))-K_ch_UPSD_us</f>
        <v>-96.519400086720381</v>
      </c>
      <c r="F119" s="2">
        <f>MIN(-90, -89-Masks[[#This Row],[f]]/(600000000*S_ch_ds),-82-Masks[[#This Row],[f]]/(250000000*S_ch_ds))-K_ch_UPSD_ds</f>
        <v>-96.519400086720381</v>
      </c>
      <c r="G119">
        <f>-MAX(MIN(20,20-10*LOG10(2*Masks[[#This Row],[f]]/480000000)),12-3)</f>
        <v>-9</v>
      </c>
      <c r="H119">
        <f>-MAX(MIN(20,20-10*LOG10(2*Masks[[#This Row],[f]]/480000000)),12-3)</f>
        <v>-9</v>
      </c>
      <c r="I119">
        <f>10*LOG10(POWER(10,Tx_power_us/10)/F_Nyquist_us)+IF(Masks[[#This Row],[f]]&gt;F_Nyquist_us,-50)</f>
        <v>-98.470325397914564</v>
      </c>
      <c r="J119" s="3">
        <f>10*LOG10(POWER(10,Tx_power_ds/10)/F_Nyquist_ds)+IF(Masks[[#This Row],[f]]&gt;F_Nyquist_ds,-50)</f>
        <v>-98.470325397914564</v>
      </c>
      <c r="K119" s="3">
        <f>IF(Masks[[#This Row],[f]]&gt;F_Nyquist_us,0,1)</f>
        <v>1</v>
      </c>
      <c r="L119" s="3">
        <f>IF(Masks[[#This Row],[f]]&gt;F_Nyquist_ds,0,1)</f>
        <v>1</v>
      </c>
      <c r="M119" s="3">
        <f>Config!B$7</f>
        <v>-40</v>
      </c>
      <c r="N119" s="3">
        <f>IF(Config!B$8&gt;0,10*LOG10($T$1*Masks[[#This Row],[f]]+Config!B$8*0.00073),-1000)</f>
        <v>-10.306306882664725</v>
      </c>
      <c r="O119" s="3">
        <f>10*LOG10((10^(Masks[[#This Row],[wire_echo]]/10))+(10^(Masks[[#This Row],[connector_echo]]/10)))</f>
        <v>-10.301649069242025</v>
      </c>
      <c r="P119" s="65"/>
      <c r="Q119" s="65"/>
    </row>
    <row r="120" spans="1:17" x14ac:dyDescent="0.25">
      <c r="A120" s="2">
        <v>-98.470325397914564</v>
      </c>
      <c r="B120" s="2">
        <v>-98.470325397914564</v>
      </c>
      <c r="D120">
        <f>Calculate[[#This Row],[Freq]]</f>
        <v>5355000000</v>
      </c>
      <c r="E120" s="2">
        <f>MIN(-90, -89-Masks[[#This Row],[f]]/(600000000*S_ch_us),-82-Masks[[#This Row],[f]]/(250000000*S_ch_us))-K_ch_UPSD_us</f>
        <v>-96.549400086720368</v>
      </c>
      <c r="F120" s="2">
        <f>MIN(-90, -89-Masks[[#This Row],[f]]/(600000000*S_ch_ds),-82-Masks[[#This Row],[f]]/(250000000*S_ch_ds))-K_ch_UPSD_ds</f>
        <v>-96.549400086720368</v>
      </c>
      <c r="G120">
        <f>-MAX(MIN(20,20-10*LOG10(2*Masks[[#This Row],[f]]/480000000)),12-3)</f>
        <v>-9</v>
      </c>
      <c r="H120">
        <f>-MAX(MIN(20,20-10*LOG10(2*Masks[[#This Row],[f]]/480000000)),12-3)</f>
        <v>-9</v>
      </c>
      <c r="I120">
        <f>10*LOG10(POWER(10,Tx_power_us/10)/F_Nyquist_us)+IF(Masks[[#This Row],[f]]&gt;F_Nyquist_us,-50)</f>
        <v>-98.470325397914564</v>
      </c>
      <c r="J120" s="3">
        <f>10*LOG10(POWER(10,Tx_power_ds/10)/F_Nyquist_ds)+IF(Masks[[#This Row],[f]]&gt;F_Nyquist_ds,-50)</f>
        <v>-98.470325397914564</v>
      </c>
      <c r="K120" s="3">
        <f>IF(Masks[[#This Row],[f]]&gt;F_Nyquist_us,0,1)</f>
        <v>1</v>
      </c>
      <c r="L120" s="3">
        <f>IF(Masks[[#This Row],[f]]&gt;F_Nyquist_ds,0,1)</f>
        <v>1</v>
      </c>
      <c r="M120" s="3">
        <f>Config!B$7</f>
        <v>-40</v>
      </c>
      <c r="N120" s="3">
        <f>IF(Config!B$8&gt;0,10*LOG10($T$1*Masks[[#This Row],[f]]+Config!B$8*0.00073),-1000)</f>
        <v>-10.27080103113973</v>
      </c>
      <c r="O120" s="3">
        <f>10*LOG10((10^(Masks[[#This Row],[wire_echo]]/10))+(10^(Masks[[#This Row],[connector_echo]]/10)))</f>
        <v>-10.266181122381074</v>
      </c>
      <c r="P120" s="65"/>
      <c r="Q120" s="65"/>
    </row>
    <row r="121" spans="1:17" x14ac:dyDescent="0.25">
      <c r="A121" s="2">
        <v>-98.470325397914564</v>
      </c>
      <c r="B121" s="2">
        <v>-98.470325397914564</v>
      </c>
      <c r="D121">
        <f>Calculate[[#This Row],[Freq]]</f>
        <v>5400000000</v>
      </c>
      <c r="E121" s="2">
        <f>MIN(-90, -89-Masks[[#This Row],[f]]/(600000000*S_ch_us),-82-Masks[[#This Row],[f]]/(250000000*S_ch_us))-K_ch_UPSD_us</f>
        <v>-96.579400086720369</v>
      </c>
      <c r="F121" s="2">
        <f>MIN(-90, -89-Masks[[#This Row],[f]]/(600000000*S_ch_ds),-82-Masks[[#This Row],[f]]/(250000000*S_ch_ds))-K_ch_UPSD_ds</f>
        <v>-96.579400086720369</v>
      </c>
      <c r="G121">
        <f>-MAX(MIN(20,20-10*LOG10(2*Masks[[#This Row],[f]]/480000000)),12-3)</f>
        <v>-9</v>
      </c>
      <c r="H121">
        <f>-MAX(MIN(20,20-10*LOG10(2*Masks[[#This Row],[f]]/480000000)),12-3)</f>
        <v>-9</v>
      </c>
      <c r="I121">
        <f>10*LOG10(POWER(10,Tx_power_us/10)/F_Nyquist_us)+IF(Masks[[#This Row],[f]]&gt;F_Nyquist_us,-50)</f>
        <v>-98.470325397914564</v>
      </c>
      <c r="J121" s="3">
        <f>10*LOG10(POWER(10,Tx_power_ds/10)/F_Nyquist_ds)+IF(Masks[[#This Row],[f]]&gt;F_Nyquist_ds,-50)</f>
        <v>-98.470325397914564</v>
      </c>
      <c r="K121" s="3">
        <f>IF(Masks[[#This Row],[f]]&gt;F_Nyquist_us,0,1)</f>
        <v>1</v>
      </c>
      <c r="L121" s="3">
        <f>IF(Masks[[#This Row],[f]]&gt;F_Nyquist_ds,0,1)</f>
        <v>1</v>
      </c>
      <c r="M121" s="3">
        <f>Config!B$7</f>
        <v>-40</v>
      </c>
      <c r="N121" s="3">
        <f>IF(Config!B$8&gt;0,10*LOG10($T$1*Masks[[#This Row],[f]]+Config!B$8*0.00073),-1000)</f>
        <v>-10.235583106211553</v>
      </c>
      <c r="O121" s="3">
        <f>10*LOG10((10^(Masks[[#This Row],[wire_echo]]/10))+(10^(Masks[[#This Row],[connector_echo]]/10)))</f>
        <v>-10.23100049017062</v>
      </c>
      <c r="P121" s="65"/>
      <c r="Q121" s="65"/>
    </row>
    <row r="122" spans="1:17" x14ac:dyDescent="0.25">
      <c r="A122" s="2">
        <v>-98.470325397914564</v>
      </c>
      <c r="B122" s="2">
        <v>-98.470325397914564</v>
      </c>
      <c r="D122">
        <f>Calculate[[#This Row],[Freq]]</f>
        <v>5445000000</v>
      </c>
      <c r="E122" s="2">
        <f>MIN(-90, -89-Masks[[#This Row],[f]]/(600000000*S_ch_us),-82-Masks[[#This Row],[f]]/(250000000*S_ch_us))-K_ch_UPSD_us</f>
        <v>-96.60940008672037</v>
      </c>
      <c r="F122" s="2">
        <f>MIN(-90, -89-Masks[[#This Row],[f]]/(600000000*S_ch_ds),-82-Masks[[#This Row],[f]]/(250000000*S_ch_ds))-K_ch_UPSD_ds</f>
        <v>-96.60940008672037</v>
      </c>
      <c r="G122">
        <f>-MAX(MIN(20,20-10*LOG10(2*Masks[[#This Row],[f]]/480000000)),12-3)</f>
        <v>-9</v>
      </c>
      <c r="H122">
        <f>-MAX(MIN(20,20-10*LOG10(2*Masks[[#This Row],[f]]/480000000)),12-3)</f>
        <v>-9</v>
      </c>
      <c r="I122">
        <f>10*LOG10(POWER(10,Tx_power_us/10)/F_Nyquist_us)+IF(Masks[[#This Row],[f]]&gt;F_Nyquist_us,-50)</f>
        <v>-98.470325397914564</v>
      </c>
      <c r="J122" s="3">
        <f>10*LOG10(POWER(10,Tx_power_ds/10)/F_Nyquist_ds)+IF(Masks[[#This Row],[f]]&gt;F_Nyquist_ds,-50)</f>
        <v>-98.470325397914564</v>
      </c>
      <c r="K122" s="3">
        <f>IF(Masks[[#This Row],[f]]&gt;F_Nyquist_us,0,1)</f>
        <v>1</v>
      </c>
      <c r="L122" s="3">
        <f>IF(Masks[[#This Row],[f]]&gt;F_Nyquist_ds,0,1)</f>
        <v>1</v>
      </c>
      <c r="M122" s="3">
        <f>Config!B$7</f>
        <v>-40</v>
      </c>
      <c r="N122" s="3">
        <f>IF(Config!B$8&gt;0,10*LOG10($T$1*Masks[[#This Row],[f]]+Config!B$8*0.00073),-1000)</f>
        <v>-10.200648475668878</v>
      </c>
      <c r="O122" s="3">
        <f>10*LOG10((10^(Masks[[#This Row],[wire_echo]]/10))+(10^(Masks[[#This Row],[connector_echo]]/10)))</f>
        <v>-10.196102555099911</v>
      </c>
      <c r="P122" s="65"/>
      <c r="Q122" s="65"/>
    </row>
    <row r="123" spans="1:17" x14ac:dyDescent="0.25">
      <c r="A123" s="2">
        <v>-98.470325397914564</v>
      </c>
      <c r="B123" s="2">
        <v>-98.470325397914564</v>
      </c>
      <c r="D123">
        <f>Calculate[[#This Row],[Freq]]</f>
        <v>5490000000</v>
      </c>
      <c r="E123" s="2">
        <f>MIN(-90, -89-Masks[[#This Row],[f]]/(600000000*S_ch_us),-82-Masks[[#This Row],[f]]/(250000000*S_ch_us))-K_ch_UPSD_us</f>
        <v>-96.639400086720372</v>
      </c>
      <c r="F123" s="2">
        <f>MIN(-90, -89-Masks[[#This Row],[f]]/(600000000*S_ch_ds),-82-Masks[[#This Row],[f]]/(250000000*S_ch_ds))-K_ch_UPSD_ds</f>
        <v>-96.639400086720372</v>
      </c>
      <c r="G123">
        <f>-MAX(MIN(20,20-10*LOG10(2*Masks[[#This Row],[f]]/480000000)),12-3)</f>
        <v>-9</v>
      </c>
      <c r="H123">
        <f>-MAX(MIN(20,20-10*LOG10(2*Masks[[#This Row],[f]]/480000000)),12-3)</f>
        <v>-9</v>
      </c>
      <c r="I123">
        <f>10*LOG10(POWER(10,Tx_power_us/10)/F_Nyquist_us)+IF(Masks[[#This Row],[f]]&gt;F_Nyquist_us,-50)</f>
        <v>-98.470325397914564</v>
      </c>
      <c r="J123" s="3">
        <f>10*LOG10(POWER(10,Tx_power_ds/10)/F_Nyquist_ds)+IF(Masks[[#This Row],[f]]&gt;F_Nyquist_ds,-50)</f>
        <v>-98.470325397914564</v>
      </c>
      <c r="K123" s="3">
        <f>IF(Masks[[#This Row],[f]]&gt;F_Nyquist_us,0,1)</f>
        <v>1</v>
      </c>
      <c r="L123" s="3">
        <f>IF(Masks[[#This Row],[f]]&gt;F_Nyquist_ds,0,1)</f>
        <v>1</v>
      </c>
      <c r="M123" s="3">
        <f>Config!B$7</f>
        <v>-40</v>
      </c>
      <c r="N123" s="3">
        <f>IF(Config!B$8&gt;0,10*LOG10($T$1*Masks[[#This Row],[f]]+Config!B$8*0.00073),-1000)</f>
        <v>-10.165992618194617</v>
      </c>
      <c r="O123" s="3">
        <f>10*LOG10((10^(Masks[[#This Row],[wire_echo]]/10))+(10^(Masks[[#This Row],[connector_echo]]/10)))</f>
        <v>-10.161482810085282</v>
      </c>
      <c r="P123" s="65"/>
      <c r="Q123" s="65"/>
    </row>
    <row r="124" spans="1:17" x14ac:dyDescent="0.25">
      <c r="A124" s="2">
        <v>-98.470325397914564</v>
      </c>
      <c r="B124" s="2">
        <v>-98.470325397914564</v>
      </c>
      <c r="D124">
        <f>Calculate[[#This Row],[Freq]]</f>
        <v>5535000000</v>
      </c>
      <c r="E124" s="2">
        <f>MIN(-90, -89-Masks[[#This Row],[f]]/(600000000*S_ch_us),-82-Masks[[#This Row],[f]]/(250000000*S_ch_us))-K_ch_UPSD_us</f>
        <v>-96.669400086720373</v>
      </c>
      <c r="F124" s="2">
        <f>MIN(-90, -89-Masks[[#This Row],[f]]/(600000000*S_ch_ds),-82-Masks[[#This Row],[f]]/(250000000*S_ch_ds))-K_ch_UPSD_ds</f>
        <v>-96.669400086720373</v>
      </c>
      <c r="G124">
        <f>-MAX(MIN(20,20-10*LOG10(2*Masks[[#This Row],[f]]/480000000)),12-3)</f>
        <v>-9</v>
      </c>
      <c r="H124">
        <f>-MAX(MIN(20,20-10*LOG10(2*Masks[[#This Row],[f]]/480000000)),12-3)</f>
        <v>-9</v>
      </c>
      <c r="I124">
        <f>10*LOG10(POWER(10,Tx_power_us/10)/F_Nyquist_us)+IF(Masks[[#This Row],[f]]&gt;F_Nyquist_us,-50)</f>
        <v>-98.470325397914564</v>
      </c>
      <c r="J124" s="3">
        <f>10*LOG10(POWER(10,Tx_power_ds/10)/F_Nyquist_ds)+IF(Masks[[#This Row],[f]]&gt;F_Nyquist_ds,-50)</f>
        <v>-98.470325397914564</v>
      </c>
      <c r="K124" s="3">
        <f>IF(Masks[[#This Row],[f]]&gt;F_Nyquist_us,0,1)</f>
        <v>1</v>
      </c>
      <c r="L124" s="3">
        <f>IF(Masks[[#This Row],[f]]&gt;F_Nyquist_ds,0,1)</f>
        <v>1</v>
      </c>
      <c r="M124" s="3">
        <f>Config!B$7</f>
        <v>-40</v>
      </c>
      <c r="N124" s="3">
        <f>IF(Config!B$8&gt;0,10*LOG10($T$1*Masks[[#This Row],[f]]+Config!B$8*0.00073),-1000)</f>
        <v>-10.13161111985421</v>
      </c>
      <c r="O124" s="3">
        <f>10*LOG10((10^(Masks[[#This Row],[wire_echo]]/10))+(10^(Masks[[#This Row],[connector_echo]]/10)))</f>
        <v>-10.1271368549769</v>
      </c>
      <c r="P124" s="65"/>
      <c r="Q124" s="65"/>
    </row>
    <row r="125" spans="1:17" x14ac:dyDescent="0.25">
      <c r="A125" s="2">
        <v>-98.470325397914564</v>
      </c>
      <c r="B125" s="2">
        <v>-98.470325397914564</v>
      </c>
      <c r="D125">
        <f>Calculate[[#This Row],[Freq]]</f>
        <v>5580000000</v>
      </c>
      <c r="E125" s="2">
        <f>MIN(-90, -89-Masks[[#This Row],[f]]/(600000000*S_ch_us),-82-Masks[[#This Row],[f]]/(250000000*S_ch_us))-K_ch_UPSD_us</f>
        <v>-96.699400086720374</v>
      </c>
      <c r="F125" s="2">
        <f>MIN(-90, -89-Masks[[#This Row],[f]]/(600000000*S_ch_ds),-82-Masks[[#This Row],[f]]/(250000000*S_ch_ds))-K_ch_UPSD_ds</f>
        <v>-96.699400086720374</v>
      </c>
      <c r="G125">
        <f>-MAX(MIN(20,20-10*LOG10(2*Masks[[#This Row],[f]]/480000000)),12-3)</f>
        <v>-9</v>
      </c>
      <c r="H125">
        <f>-MAX(MIN(20,20-10*LOG10(2*Masks[[#This Row],[f]]/480000000)),12-3)</f>
        <v>-9</v>
      </c>
      <c r="I125">
        <f>10*LOG10(POWER(10,Tx_power_us/10)/F_Nyquist_us)+IF(Masks[[#This Row],[f]]&gt;F_Nyquist_us,-50)</f>
        <v>-98.470325397914564</v>
      </c>
      <c r="J125" s="3">
        <f>10*LOG10(POWER(10,Tx_power_ds/10)/F_Nyquist_ds)+IF(Masks[[#This Row],[f]]&gt;F_Nyquist_ds,-50)</f>
        <v>-98.470325397914564</v>
      </c>
      <c r="K125" s="3">
        <f>IF(Masks[[#This Row],[f]]&gt;F_Nyquist_us,0,1)</f>
        <v>1</v>
      </c>
      <c r="L125" s="3">
        <f>IF(Masks[[#This Row],[f]]&gt;F_Nyquist_ds,0,1)</f>
        <v>1</v>
      </c>
      <c r="M125" s="3">
        <f>Config!B$7</f>
        <v>-40</v>
      </c>
      <c r="N125" s="3">
        <f>IF(Config!B$8&gt;0,10*LOG10($T$1*Masks[[#This Row],[f]]+Config!B$8*0.00073),-1000)</f>
        <v>-10.097499670721833</v>
      </c>
      <c r="O125" s="3">
        <f>10*LOG10((10^(Masks[[#This Row],[wire_echo]]/10))+(10^(Masks[[#This Row],[connector_echo]]/10)))</f>
        <v>-10.093060393202485</v>
      </c>
      <c r="P125" s="65"/>
      <c r="Q125" s="65"/>
    </row>
    <row r="126" spans="1:17" x14ac:dyDescent="0.25">
      <c r="A126" s="2">
        <v>-98.470325397914564</v>
      </c>
      <c r="B126" s="2">
        <v>-98.470325397914564</v>
      </c>
      <c r="D126">
        <f>Calculate[[#This Row],[Freq]]</f>
        <v>5625000000</v>
      </c>
      <c r="E126" s="2">
        <f>MIN(-90, -89-Masks[[#This Row],[f]]/(600000000*S_ch_us),-82-Masks[[#This Row],[f]]/(250000000*S_ch_us))-K_ch_UPSD_us</f>
        <v>-96.729400086720375</v>
      </c>
      <c r="F126" s="2">
        <f>MIN(-90, -89-Masks[[#This Row],[f]]/(600000000*S_ch_ds),-82-Masks[[#This Row],[f]]/(250000000*S_ch_ds))-K_ch_UPSD_ds</f>
        <v>-96.729400086720375</v>
      </c>
      <c r="G126">
        <f>-MAX(MIN(20,20-10*LOG10(2*Masks[[#This Row],[f]]/480000000)),12-3)</f>
        <v>-9</v>
      </c>
      <c r="H126">
        <f>-MAX(MIN(20,20-10*LOG10(2*Masks[[#This Row],[f]]/480000000)),12-3)</f>
        <v>-9</v>
      </c>
      <c r="I126">
        <f>10*LOG10(POWER(10,Tx_power_us/10)/F_Nyquist_us)+IF(Masks[[#This Row],[f]]&gt;F_Nyquist_us,-50)</f>
        <v>-98.470325397914564</v>
      </c>
      <c r="J126" s="3">
        <f>10*LOG10(POWER(10,Tx_power_ds/10)/F_Nyquist_ds)+IF(Masks[[#This Row],[f]]&gt;F_Nyquist_ds,-50)</f>
        <v>-98.470325397914564</v>
      </c>
      <c r="K126" s="3">
        <f>IF(Masks[[#This Row],[f]]&gt;F_Nyquist_us,0,1)</f>
        <v>1</v>
      </c>
      <c r="L126" s="3">
        <f>IF(Masks[[#This Row],[f]]&gt;F_Nyquist_ds,0,1)</f>
        <v>1</v>
      </c>
      <c r="M126" s="3">
        <f>Config!B$7</f>
        <v>-40</v>
      </c>
      <c r="N126" s="3">
        <f>IF(Config!B$8&gt;0,10*LOG10($T$1*Masks[[#This Row],[f]]+Config!B$8*0.00073),-1000)</f>
        <v>-10.063654061638065</v>
      </c>
      <c r="O126" s="3">
        <f>10*LOG10((10^(Masks[[#This Row],[wire_echo]]/10))+(10^(Masks[[#This Row],[connector_echo]]/10)))</f>
        <v>-10.059249228541729</v>
      </c>
      <c r="P126" s="65"/>
      <c r="Q126" s="65"/>
    </row>
    <row r="127" spans="1:17" x14ac:dyDescent="0.25">
      <c r="A127" s="2">
        <v>-98.470325397914564</v>
      </c>
      <c r="B127" s="2">
        <v>-98.470325397914564</v>
      </c>
      <c r="D127">
        <f>Calculate[[#This Row],[Freq]]</f>
        <v>5670000000</v>
      </c>
      <c r="E127" s="2">
        <f>MIN(-90, -89-Masks[[#This Row],[f]]/(600000000*S_ch_us),-82-Masks[[#This Row],[f]]/(250000000*S_ch_us))-K_ch_UPSD_us</f>
        <v>-96.759400086720376</v>
      </c>
      <c r="F127" s="2">
        <f>MIN(-90, -89-Masks[[#This Row],[f]]/(600000000*S_ch_ds),-82-Masks[[#This Row],[f]]/(250000000*S_ch_ds))-K_ch_UPSD_ds</f>
        <v>-96.759400086720376</v>
      </c>
      <c r="G127">
        <f>-MAX(MIN(20,20-10*LOG10(2*Masks[[#This Row],[f]]/480000000)),12-3)</f>
        <v>-9</v>
      </c>
      <c r="H127">
        <f>-MAX(MIN(20,20-10*LOG10(2*Masks[[#This Row],[f]]/480000000)),12-3)</f>
        <v>-9</v>
      </c>
      <c r="I127">
        <f>10*LOG10(POWER(10,Tx_power_us/10)/F_Nyquist_us)+IF(Masks[[#This Row],[f]]&gt;F_Nyquist_us,-50)</f>
        <v>-98.470325397914564</v>
      </c>
      <c r="J127" s="3">
        <f>10*LOG10(POWER(10,Tx_power_ds/10)/F_Nyquist_ds)+IF(Masks[[#This Row],[f]]&gt;F_Nyquist_ds,-50)</f>
        <v>-98.470325397914564</v>
      </c>
      <c r="K127" s="3">
        <f>IF(Masks[[#This Row],[f]]&gt;F_Nyquist_us,0,1)</f>
        <v>1</v>
      </c>
      <c r="L127" s="3">
        <f>IF(Masks[[#This Row],[f]]&gt;F_Nyquist_ds,0,1)</f>
        <v>1</v>
      </c>
      <c r="M127" s="3">
        <f>Config!B$7</f>
        <v>-40</v>
      </c>
      <c r="N127" s="3">
        <f>IF(Config!B$8&gt;0,10*LOG10($T$1*Masks[[#This Row],[f]]+Config!B$8*0.00073),-1000)</f>
        <v>-10.030070181092942</v>
      </c>
      <c r="O127" s="3">
        <f>10*LOG10((10^(Masks[[#This Row],[wire_echo]]/10))+(10^(Masks[[#This Row],[connector_echo]]/10)))</f>
        <v>-10.02569926202529</v>
      </c>
      <c r="P127" s="65"/>
      <c r="Q127" s="65"/>
    </row>
    <row r="128" spans="1:17" x14ac:dyDescent="0.25">
      <c r="A128" s="2">
        <v>-98.470325397914564</v>
      </c>
      <c r="B128" s="2">
        <v>-98.470325397914564</v>
      </c>
      <c r="D128">
        <f>Calculate[[#This Row],[Freq]]</f>
        <v>5715000000</v>
      </c>
      <c r="E128" s="2">
        <f>MIN(-90, -89-Masks[[#This Row],[f]]/(600000000*S_ch_us),-82-Masks[[#This Row],[f]]/(250000000*S_ch_us))-K_ch_UPSD_us</f>
        <v>-96.789400086720377</v>
      </c>
      <c r="F128" s="2">
        <f>MIN(-90, -89-Masks[[#This Row],[f]]/(600000000*S_ch_ds),-82-Masks[[#This Row],[f]]/(250000000*S_ch_ds))-K_ch_UPSD_ds</f>
        <v>-96.789400086720377</v>
      </c>
      <c r="G128">
        <f>-MAX(MIN(20,20-10*LOG10(2*Masks[[#This Row],[f]]/480000000)),12-3)</f>
        <v>-9</v>
      </c>
      <c r="H128">
        <f>-MAX(MIN(20,20-10*LOG10(2*Masks[[#This Row],[f]]/480000000)),12-3)</f>
        <v>-9</v>
      </c>
      <c r="I128">
        <f>10*LOG10(POWER(10,Tx_power_us/10)/F_Nyquist_us)+IF(Masks[[#This Row],[f]]&gt;F_Nyquist_us,-50)</f>
        <v>-98.470325397914564</v>
      </c>
      <c r="J128" s="3">
        <f>10*LOG10(POWER(10,Tx_power_ds/10)/F_Nyquist_ds)+IF(Masks[[#This Row],[f]]&gt;F_Nyquist_ds,-50)</f>
        <v>-98.470325397914564</v>
      </c>
      <c r="K128" s="3">
        <f>IF(Masks[[#This Row],[f]]&gt;F_Nyquist_us,0,1)</f>
        <v>1</v>
      </c>
      <c r="L128" s="3">
        <f>IF(Masks[[#This Row],[f]]&gt;F_Nyquist_ds,0,1)</f>
        <v>1</v>
      </c>
      <c r="M128" s="3">
        <f>Config!B$7</f>
        <v>-40</v>
      </c>
      <c r="N128" s="3">
        <f>IF(Config!B$8&gt;0,10*LOG10($T$1*Masks[[#This Row],[f]]+Config!B$8*0.00073),-1000)</f>
        <v>-9.9967440122285733</v>
      </c>
      <c r="O128" s="3">
        <f>10*LOG10((10^(Masks[[#This Row],[wire_echo]]/10))+(10^(Masks[[#This Row],[connector_echo]]/10)))</f>
        <v>-9.9924064889526285</v>
      </c>
      <c r="P128" s="65"/>
      <c r="Q128" s="65"/>
    </row>
    <row r="129" spans="1:17" x14ac:dyDescent="0.25">
      <c r="A129" s="2">
        <v>-98.470325397914564</v>
      </c>
      <c r="B129" s="2">
        <v>-98.470325397914564</v>
      </c>
      <c r="D129">
        <f>Calculate[[#This Row],[Freq]]</f>
        <v>5760000000</v>
      </c>
      <c r="E129" s="2">
        <f>MIN(-90, -89-Masks[[#This Row],[f]]/(600000000*S_ch_us),-82-Masks[[#This Row],[f]]/(250000000*S_ch_us))-K_ch_UPSD_us</f>
        <v>-96.819400086720378</v>
      </c>
      <c r="F129" s="2">
        <f>MIN(-90, -89-Masks[[#This Row],[f]]/(600000000*S_ch_ds),-82-Masks[[#This Row],[f]]/(250000000*S_ch_ds))-K_ch_UPSD_ds</f>
        <v>-96.819400086720378</v>
      </c>
      <c r="G129">
        <f>-MAX(MIN(20,20-10*LOG10(2*Masks[[#This Row],[f]]/480000000)),12-3)</f>
        <v>-9</v>
      </c>
      <c r="H129">
        <f>-MAX(MIN(20,20-10*LOG10(2*Masks[[#This Row],[f]]/480000000)),12-3)</f>
        <v>-9</v>
      </c>
      <c r="I129">
        <f>10*LOG10(POWER(10,Tx_power_us/10)/F_Nyquist_us)+IF(Masks[[#This Row],[f]]&gt;F_Nyquist_us,-50)</f>
        <v>-98.470325397914564</v>
      </c>
      <c r="J129" s="3">
        <f>10*LOG10(POWER(10,Tx_power_ds/10)/F_Nyquist_ds)+IF(Masks[[#This Row],[f]]&gt;F_Nyquist_ds,-50)</f>
        <v>-98.470325397914564</v>
      </c>
      <c r="K129" s="3">
        <f>IF(Masks[[#This Row],[f]]&gt;F_Nyquist_us,0,1)</f>
        <v>1</v>
      </c>
      <c r="L129" s="3">
        <f>IF(Masks[[#This Row],[f]]&gt;F_Nyquist_ds,0,1)</f>
        <v>1</v>
      </c>
      <c r="M129" s="3">
        <f>Config!B$7</f>
        <v>-40</v>
      </c>
      <c r="N129" s="3">
        <f>IF(Config!B$8&gt;0,10*LOG10($T$1*Masks[[#This Row],[f]]+Config!B$8*0.00073),-1000)</f>
        <v>-9.9636716299559165</v>
      </c>
      <c r="O129" s="3">
        <f>10*LOG10((10^(Masks[[#This Row],[wire_echo]]/10))+(10^(Masks[[#This Row],[connector_echo]]/10)))</f>
        <v>-9.9593669960233306</v>
      </c>
      <c r="P129" s="65"/>
      <c r="Q129" s="65"/>
    </row>
    <row r="130" spans="1:17" x14ac:dyDescent="0.25">
      <c r="A130" s="2">
        <v>-98.470325397914564</v>
      </c>
      <c r="B130" s="2">
        <v>-98.470325397914564</v>
      </c>
      <c r="D130">
        <f>Calculate[[#This Row],[Freq]]</f>
        <v>5805000000</v>
      </c>
      <c r="E130" s="2">
        <f>MIN(-90, -89-Masks[[#This Row],[f]]/(600000000*S_ch_us),-82-Masks[[#This Row],[f]]/(250000000*S_ch_us))-K_ch_UPSD_us</f>
        <v>-96.849400086720379</v>
      </c>
      <c r="F130" s="2">
        <f>MIN(-90, -89-Masks[[#This Row],[f]]/(600000000*S_ch_ds),-82-Masks[[#This Row],[f]]/(250000000*S_ch_ds))-K_ch_UPSD_ds</f>
        <v>-96.849400086720379</v>
      </c>
      <c r="G130">
        <f>-MAX(MIN(20,20-10*LOG10(2*Masks[[#This Row],[f]]/480000000)),12-3)</f>
        <v>-9</v>
      </c>
      <c r="H130">
        <f>-MAX(MIN(20,20-10*LOG10(2*Masks[[#This Row],[f]]/480000000)),12-3)</f>
        <v>-9</v>
      </c>
      <c r="I130">
        <f>10*LOG10(POWER(10,Tx_power_us/10)/F_Nyquist_us)+IF(Masks[[#This Row],[f]]&gt;F_Nyquist_us,-50)</f>
        <v>-98.470325397914564</v>
      </c>
      <c r="J130" s="3">
        <f>10*LOG10(POWER(10,Tx_power_ds/10)/F_Nyquist_ds)+IF(Masks[[#This Row],[f]]&gt;F_Nyquist_ds,-50)</f>
        <v>-98.470325397914564</v>
      </c>
      <c r="K130" s="3">
        <f>IF(Masks[[#This Row],[f]]&gt;F_Nyquist_us,0,1)</f>
        <v>1</v>
      </c>
      <c r="L130" s="3">
        <f>IF(Masks[[#This Row],[f]]&gt;F_Nyquist_ds,0,1)</f>
        <v>1</v>
      </c>
      <c r="M130" s="3">
        <f>Config!B$7</f>
        <v>-40</v>
      </c>
      <c r="N130" s="3">
        <f>IF(Config!B$8&gt;0,10*LOG10($T$1*Masks[[#This Row],[f]]+Config!B$8*0.00073),-1000)</f>
        <v>-9.9308491981805052</v>
      </c>
      <c r="O130" s="3">
        <f>10*LOG10((10^(Masks[[#This Row],[wire_echo]]/10))+(10^(Masks[[#This Row],[connector_echo]]/10)))</f>
        <v>-9.9265769585766925</v>
      </c>
      <c r="P130" s="65"/>
      <c r="Q130" s="65"/>
    </row>
    <row r="131" spans="1:17" x14ac:dyDescent="0.25">
      <c r="A131" s="2">
        <v>-98.470325397914564</v>
      </c>
      <c r="B131" s="2">
        <v>-98.470325397914564</v>
      </c>
      <c r="D131">
        <f>Calculate[[#This Row],[Freq]]</f>
        <v>5850000000</v>
      </c>
      <c r="E131" s="2">
        <f>MIN(-90, -89-Masks[[#This Row],[f]]/(600000000*S_ch_us),-82-Masks[[#This Row],[f]]/(250000000*S_ch_us))-K_ch_UPSD_us</f>
        <v>-96.879400086720381</v>
      </c>
      <c r="F131" s="2">
        <f>MIN(-90, -89-Masks[[#This Row],[f]]/(600000000*S_ch_ds),-82-Masks[[#This Row],[f]]/(250000000*S_ch_ds))-K_ch_UPSD_ds</f>
        <v>-96.879400086720381</v>
      </c>
      <c r="G131">
        <f>-MAX(MIN(20,20-10*LOG10(2*Masks[[#This Row],[f]]/480000000)),12-3)</f>
        <v>-9</v>
      </c>
      <c r="H131">
        <f>-MAX(MIN(20,20-10*LOG10(2*Masks[[#This Row],[f]]/480000000)),12-3)</f>
        <v>-9</v>
      </c>
      <c r="I131">
        <f>10*LOG10(POWER(10,Tx_power_us/10)/F_Nyquist_us)+IF(Masks[[#This Row],[f]]&gt;F_Nyquist_us,-50)</f>
        <v>-98.470325397914564</v>
      </c>
      <c r="J131" s="3">
        <f>10*LOG10(POWER(10,Tx_power_ds/10)/F_Nyquist_ds)+IF(Masks[[#This Row],[f]]&gt;F_Nyquist_ds,-50)</f>
        <v>-98.470325397914564</v>
      </c>
      <c r="K131" s="3">
        <f>IF(Masks[[#This Row],[f]]&gt;F_Nyquist_us,0,1)</f>
        <v>1</v>
      </c>
      <c r="L131" s="3">
        <f>IF(Masks[[#This Row],[f]]&gt;F_Nyquist_ds,0,1)</f>
        <v>1</v>
      </c>
      <c r="M131" s="3">
        <f>Config!B$7</f>
        <v>-40</v>
      </c>
      <c r="N131" s="3">
        <f>IF(Config!B$8&gt;0,10*LOG10($T$1*Masks[[#This Row],[f]]+Config!B$8*0.00073),-1000)</f>
        <v>-9.8982729671322129</v>
      </c>
      <c r="O131" s="3">
        <f>10*LOG10((10^(Masks[[#This Row],[wire_echo]]/10))+(10^(Masks[[#This Row],[connector_echo]]/10)))</f>
        <v>-9.8940326379347496</v>
      </c>
      <c r="P131" s="65"/>
      <c r="Q131" s="65"/>
    </row>
    <row r="132" spans="1:17" x14ac:dyDescent="0.25">
      <c r="A132" s="2">
        <v>-98.470325397914564</v>
      </c>
      <c r="B132" s="2">
        <v>-98.470325397914564</v>
      </c>
      <c r="D132">
        <f>Calculate[[#This Row],[Freq]]</f>
        <v>5895000000</v>
      </c>
      <c r="E132" s="2">
        <f>MIN(-90, -89-Masks[[#This Row],[f]]/(600000000*S_ch_us),-82-Masks[[#This Row],[f]]/(250000000*S_ch_us))-K_ch_UPSD_us</f>
        <v>-96.909400086720382</v>
      </c>
      <c r="F132" s="2">
        <f>MIN(-90, -89-Masks[[#This Row],[f]]/(600000000*S_ch_ds),-82-Masks[[#This Row],[f]]/(250000000*S_ch_ds))-K_ch_UPSD_ds</f>
        <v>-96.909400086720382</v>
      </c>
      <c r="G132">
        <f>-MAX(MIN(20,20-10*LOG10(2*Masks[[#This Row],[f]]/480000000)),12-3)</f>
        <v>-9</v>
      </c>
      <c r="H132">
        <f>-MAX(MIN(20,20-10*LOG10(2*Masks[[#This Row],[f]]/480000000)),12-3)</f>
        <v>-9</v>
      </c>
      <c r="I132">
        <f>10*LOG10(POWER(10,Tx_power_us/10)/F_Nyquist_us)+IF(Masks[[#This Row],[f]]&gt;F_Nyquist_us,-50)</f>
        <v>-98.470325397914564</v>
      </c>
      <c r="J132" s="3">
        <f>10*LOG10(POWER(10,Tx_power_ds/10)/F_Nyquist_ds)+IF(Masks[[#This Row],[f]]&gt;F_Nyquist_ds,-50)</f>
        <v>-98.470325397914564</v>
      </c>
      <c r="K132" s="3">
        <f>IF(Masks[[#This Row],[f]]&gt;F_Nyquist_us,0,1)</f>
        <v>1</v>
      </c>
      <c r="L132" s="3">
        <f>IF(Masks[[#This Row],[f]]&gt;F_Nyquist_ds,0,1)</f>
        <v>1</v>
      </c>
      <c r="M132" s="3">
        <f>Config!B$7</f>
        <v>-40</v>
      </c>
      <c r="N132" s="3">
        <f>IF(Config!B$8&gt;0,10*LOG10($T$1*Masks[[#This Row],[f]]+Config!B$8*0.00073),-1000)</f>
        <v>-9.8659392707944278</v>
      </c>
      <c r="O132" s="3">
        <f>10*LOG10((10^(Masks[[#This Row],[wire_echo]]/10))+(10^(Masks[[#This Row],[connector_echo]]/10)))</f>
        <v>-9.8617303788441006</v>
      </c>
      <c r="P132" s="65"/>
      <c r="Q132" s="65"/>
    </row>
    <row r="133" spans="1:17" x14ac:dyDescent="0.25">
      <c r="A133" s="2">
        <v>-98.470325397914564</v>
      </c>
      <c r="B133" s="2">
        <v>-98.470325397914564</v>
      </c>
      <c r="D133">
        <f>Calculate[[#This Row],[Freq]]</f>
        <v>5940000000</v>
      </c>
      <c r="E133" s="2">
        <f>MIN(-90, -89-Masks[[#This Row],[f]]/(600000000*S_ch_us),-82-Masks[[#This Row],[f]]/(250000000*S_ch_us))-K_ch_UPSD_us</f>
        <v>-96.939400086720369</v>
      </c>
      <c r="F133" s="2">
        <f>MIN(-90, -89-Masks[[#This Row],[f]]/(600000000*S_ch_ds),-82-Masks[[#This Row],[f]]/(250000000*S_ch_ds))-K_ch_UPSD_ds</f>
        <v>-96.939400086720369</v>
      </c>
      <c r="G133">
        <f>-MAX(MIN(20,20-10*LOG10(2*Masks[[#This Row],[f]]/480000000)),12-3)</f>
        <v>-9</v>
      </c>
      <c r="H133">
        <f>-MAX(MIN(20,20-10*LOG10(2*Masks[[#This Row],[f]]/480000000)),12-3)</f>
        <v>-9</v>
      </c>
      <c r="I133">
        <f>10*LOG10(POWER(10,Tx_power_us/10)/F_Nyquist_us)+IF(Masks[[#This Row],[f]]&gt;F_Nyquist_us,-50)</f>
        <v>-98.470325397914564</v>
      </c>
      <c r="J133" s="3">
        <f>10*LOG10(POWER(10,Tx_power_ds/10)/F_Nyquist_ds)+IF(Masks[[#This Row],[f]]&gt;F_Nyquist_ds,-50)</f>
        <v>-98.470325397914564</v>
      </c>
      <c r="K133" s="3">
        <f>IF(Masks[[#This Row],[f]]&gt;F_Nyquist_us,0,1)</f>
        <v>1</v>
      </c>
      <c r="L133" s="3">
        <f>IF(Masks[[#This Row],[f]]&gt;F_Nyquist_ds,0,1)</f>
        <v>1</v>
      </c>
      <c r="M133" s="3">
        <f>Config!B$7</f>
        <v>-40</v>
      </c>
      <c r="N133" s="3">
        <f>IF(Config!B$8&gt;0,10*LOG10($T$1*Masks[[#This Row],[f]]+Config!B$8*0.00073),-1000)</f>
        <v>-9.8338445244282262</v>
      </c>
      <c r="O133" s="3">
        <f>10*LOG10((10^(Masks[[#This Row],[wire_echo]]/10))+(10^(Masks[[#This Row],[connector_echo]]/10)))</f>
        <v>-9.8296666070121965</v>
      </c>
      <c r="P133" s="65"/>
      <c r="Q133" s="65"/>
    </row>
    <row r="134" spans="1:17" x14ac:dyDescent="0.25">
      <c r="A134" s="2">
        <v>-98.470325397914564</v>
      </c>
      <c r="B134" s="2">
        <v>-98.470325397914564</v>
      </c>
      <c r="D134">
        <f>Calculate[[#This Row],[Freq]]</f>
        <v>5985000000</v>
      </c>
      <c r="E134" s="2">
        <f>MIN(-90, -89-Masks[[#This Row],[f]]/(600000000*S_ch_us),-82-Masks[[#This Row],[f]]/(250000000*S_ch_us))-K_ch_UPSD_us</f>
        <v>-96.96940008672037</v>
      </c>
      <c r="F134" s="2">
        <f>MIN(-90, -89-Masks[[#This Row],[f]]/(600000000*S_ch_ds),-82-Masks[[#This Row],[f]]/(250000000*S_ch_ds))-K_ch_UPSD_ds</f>
        <v>-96.96940008672037</v>
      </c>
      <c r="G134">
        <f>-MAX(MIN(20,20-10*LOG10(2*Masks[[#This Row],[f]]/480000000)),12-3)</f>
        <v>-9</v>
      </c>
      <c r="H134">
        <f>-MAX(MIN(20,20-10*LOG10(2*Masks[[#This Row],[f]]/480000000)),12-3)</f>
        <v>-9</v>
      </c>
      <c r="I134">
        <f>10*LOG10(POWER(10,Tx_power_us/10)/F_Nyquist_us)+IF(Masks[[#This Row],[f]]&gt;F_Nyquist_us,-50)</f>
        <v>-98.470325397914564</v>
      </c>
      <c r="J134" s="3">
        <f>10*LOG10(POWER(10,Tx_power_ds/10)/F_Nyquist_ds)+IF(Masks[[#This Row],[f]]&gt;F_Nyquist_ds,-50)</f>
        <v>-98.470325397914564</v>
      </c>
      <c r="K134" s="3">
        <f>IF(Masks[[#This Row],[f]]&gt;F_Nyquist_us,0,1)</f>
        <v>1</v>
      </c>
      <c r="L134" s="3">
        <f>IF(Masks[[#This Row],[f]]&gt;F_Nyquist_ds,0,1)</f>
        <v>1</v>
      </c>
      <c r="M134" s="3">
        <f>Config!B$7</f>
        <v>-40</v>
      </c>
      <c r="N134" s="3">
        <f>IF(Config!B$8&gt;0,10*LOG10($T$1*Masks[[#This Row],[f]]+Config!B$8*0.00073),-1000)</f>
        <v>-9.8019852221873567</v>
      </c>
      <c r="O134" s="3">
        <f>10*LOG10((10^(Masks[[#This Row],[wire_echo]]/10))+(10^(Masks[[#This Row],[connector_echo]]/10)))</f>
        <v>-9.7978378267339004</v>
      </c>
      <c r="P134" s="65"/>
      <c r="Q134" s="65"/>
    </row>
    <row r="135" spans="1:17" x14ac:dyDescent="0.25">
      <c r="A135" s="2">
        <v>-98.470325397914564</v>
      </c>
      <c r="B135" s="2">
        <v>-98.470325397914564</v>
      </c>
      <c r="D135">
        <f>Calculate[[#This Row],[Freq]]</f>
        <v>6030000000</v>
      </c>
      <c r="E135" s="2">
        <f>MIN(-90, -89-Masks[[#This Row],[f]]/(600000000*S_ch_us),-82-Masks[[#This Row],[f]]/(250000000*S_ch_us))-K_ch_UPSD_us</f>
        <v>-96.999400086720371</v>
      </c>
      <c r="F135" s="2">
        <f>MIN(-90, -89-Masks[[#This Row],[f]]/(600000000*S_ch_ds),-82-Masks[[#This Row],[f]]/(250000000*S_ch_ds))-K_ch_UPSD_ds</f>
        <v>-96.999400086720371</v>
      </c>
      <c r="G135">
        <f>-MAX(MIN(20,20-10*LOG10(2*Masks[[#This Row],[f]]/480000000)),12-3)</f>
        <v>-9</v>
      </c>
      <c r="H135">
        <f>-MAX(MIN(20,20-10*LOG10(2*Masks[[#This Row],[f]]/480000000)),12-3)</f>
        <v>-9</v>
      </c>
      <c r="I135">
        <f>10*LOG10(POWER(10,Tx_power_us/10)/F_Nyquist_us)+IF(Masks[[#This Row],[f]]&gt;F_Nyquist_us,-50)</f>
        <v>-98.470325397914564</v>
      </c>
      <c r="J135" s="3">
        <f>10*LOG10(POWER(10,Tx_power_ds/10)/F_Nyquist_ds)+IF(Masks[[#This Row],[f]]&gt;F_Nyquist_ds,-50)</f>
        <v>-98.470325397914564</v>
      </c>
      <c r="K135" s="3">
        <f>IF(Masks[[#This Row],[f]]&gt;F_Nyquist_us,0,1)</f>
        <v>1</v>
      </c>
      <c r="L135" s="3">
        <f>IF(Masks[[#This Row],[f]]&gt;F_Nyquist_ds,0,1)</f>
        <v>1</v>
      </c>
      <c r="M135" s="3">
        <f>Config!B$7</f>
        <v>-40</v>
      </c>
      <c r="N135" s="3">
        <f>IF(Config!B$8&gt;0,10*LOG10($T$1*Masks[[#This Row],[f]]+Config!B$8*0.00073),-1000)</f>
        <v>-9.7703579348200726</v>
      </c>
      <c r="O135" s="3">
        <f>10*LOG10((10^(Masks[[#This Row],[wire_echo]]/10))+(10^(Masks[[#This Row],[connector_echo]]/10)))</f>
        <v>-9.7662406186043764</v>
      </c>
      <c r="P135" s="65"/>
      <c r="Q135" s="65"/>
    </row>
    <row r="136" spans="1:17" x14ac:dyDescent="0.25">
      <c r="A136" s="2">
        <v>-98.470325397914564</v>
      </c>
      <c r="B136" s="2">
        <v>-98.470325397914564</v>
      </c>
      <c r="D136">
        <f>Calculate[[#This Row],[Freq]]</f>
        <v>6075000000</v>
      </c>
      <c r="E136" s="2">
        <f>MIN(-90, -89-Masks[[#This Row],[f]]/(600000000*S_ch_us),-82-Masks[[#This Row],[f]]/(250000000*S_ch_us))-K_ch_UPSD_us</f>
        <v>-97.029400086720372</v>
      </c>
      <c r="F136" s="2">
        <f>MIN(-90, -89-Masks[[#This Row],[f]]/(600000000*S_ch_ds),-82-Masks[[#This Row],[f]]/(250000000*S_ch_ds))-K_ch_UPSD_ds</f>
        <v>-97.029400086720372</v>
      </c>
      <c r="G136">
        <f>-MAX(MIN(20,20-10*LOG10(2*Masks[[#This Row],[f]]/480000000)),12-3)</f>
        <v>-9</v>
      </c>
      <c r="H136">
        <f>-MAX(MIN(20,20-10*LOG10(2*Masks[[#This Row],[f]]/480000000)),12-3)</f>
        <v>-9</v>
      </c>
      <c r="I136">
        <f>10*LOG10(POWER(10,Tx_power_us/10)/F_Nyquist_us)+IF(Masks[[#This Row],[f]]&gt;F_Nyquist_us,-50)</f>
        <v>-98.470325397914564</v>
      </c>
      <c r="J136" s="3">
        <f>10*LOG10(POWER(10,Tx_power_ds/10)/F_Nyquist_ds)+IF(Masks[[#This Row],[f]]&gt;F_Nyquist_ds,-50)</f>
        <v>-98.470325397914564</v>
      </c>
      <c r="K136" s="3">
        <f>IF(Masks[[#This Row],[f]]&gt;F_Nyquist_us,0,1)</f>
        <v>1</v>
      </c>
      <c r="L136" s="3">
        <f>IF(Masks[[#This Row],[f]]&gt;F_Nyquist_ds,0,1)</f>
        <v>1</v>
      </c>
      <c r="M136" s="3">
        <f>Config!B$7</f>
        <v>-40</v>
      </c>
      <c r="N136" s="3">
        <f>IF(Config!B$8&gt;0,10*LOG10($T$1*Masks[[#This Row],[f]]+Config!B$8*0.00073),-1000)</f>
        <v>-9.7389593074540333</v>
      </c>
      <c r="O136" s="3">
        <f>10*LOG10((10^(Masks[[#This Row],[wire_echo]]/10))+(10^(Masks[[#This Row],[connector_echo]]/10)))</f>
        <v>-9.7348716373145923</v>
      </c>
      <c r="P136" s="65"/>
      <c r="Q136" s="65"/>
    </row>
    <row r="137" spans="1:17" x14ac:dyDescent="0.25">
      <c r="A137" s="2">
        <v>-98.470325397914564</v>
      </c>
      <c r="B137" s="2">
        <v>-98.470325397914564</v>
      </c>
      <c r="D137">
        <f>Calculate[[#This Row],[Freq]]</f>
        <v>6120000000</v>
      </c>
      <c r="E137" s="2">
        <f>MIN(-90, -89-Masks[[#This Row],[f]]/(600000000*S_ch_us),-82-Masks[[#This Row],[f]]/(250000000*S_ch_us))-K_ch_UPSD_us</f>
        <v>-97.059400086720373</v>
      </c>
      <c r="F137" s="2">
        <f>MIN(-90, -89-Masks[[#This Row],[f]]/(600000000*S_ch_ds),-82-Masks[[#This Row],[f]]/(250000000*S_ch_ds))-K_ch_UPSD_ds</f>
        <v>-97.059400086720373</v>
      </c>
      <c r="G137">
        <f>-MAX(MIN(20,20-10*LOG10(2*Masks[[#This Row],[f]]/480000000)),12-3)</f>
        <v>-9</v>
      </c>
      <c r="H137">
        <f>-MAX(MIN(20,20-10*LOG10(2*Masks[[#This Row],[f]]/480000000)),12-3)</f>
        <v>-9</v>
      </c>
      <c r="I137">
        <f>10*LOG10(POWER(10,Tx_power_us/10)/F_Nyquist_us)+IF(Masks[[#This Row],[f]]&gt;F_Nyquist_us,-50)</f>
        <v>-98.470325397914564</v>
      </c>
      <c r="J137" s="3">
        <f>10*LOG10(POWER(10,Tx_power_ds/10)/F_Nyquist_ds)+IF(Masks[[#This Row],[f]]&gt;F_Nyquist_ds,-50)</f>
        <v>-98.470325397914564</v>
      </c>
      <c r="K137" s="3">
        <f>IF(Masks[[#This Row],[f]]&gt;F_Nyquist_us,0,1)</f>
        <v>1</v>
      </c>
      <c r="L137" s="3">
        <f>IF(Masks[[#This Row],[f]]&gt;F_Nyquist_ds,0,1)</f>
        <v>1</v>
      </c>
      <c r="M137" s="3">
        <f>Config!B$7</f>
        <v>-40</v>
      </c>
      <c r="N137" s="3">
        <f>IF(Config!B$8&gt;0,10*LOG10($T$1*Masks[[#This Row],[f]]+Config!B$8*0.00073),-1000)</f>
        <v>-9.7077860574607193</v>
      </c>
      <c r="O137" s="3">
        <f>10*LOG10((10^(Masks[[#This Row],[wire_echo]]/10))+(10^(Masks[[#This Row],[connector_echo]]/10)))</f>
        <v>-9.7037276095258704</v>
      </c>
      <c r="P137" s="65"/>
      <c r="Q137" s="65"/>
    </row>
    <row r="138" spans="1:17" x14ac:dyDescent="0.25">
      <c r="A138" s="2">
        <v>-98.470325397914564</v>
      </c>
      <c r="B138" s="2">
        <v>-98.470325397914564</v>
      </c>
      <c r="D138">
        <f>Calculate[[#This Row],[Freq]]</f>
        <v>6165000000</v>
      </c>
      <c r="E138" s="2">
        <f>MIN(-90, -89-Masks[[#This Row],[f]]/(600000000*S_ch_us),-82-Masks[[#This Row],[f]]/(250000000*S_ch_us))-K_ch_UPSD_us</f>
        <v>-97.089400086720374</v>
      </c>
      <c r="F138" s="2">
        <f>MIN(-90, -89-Masks[[#This Row],[f]]/(600000000*S_ch_ds),-82-Masks[[#This Row],[f]]/(250000000*S_ch_ds))-K_ch_UPSD_ds</f>
        <v>-97.089400086720374</v>
      </c>
      <c r="G138">
        <f>-MAX(MIN(20,20-10*LOG10(2*Masks[[#This Row],[f]]/480000000)),12-3)</f>
        <v>-9</v>
      </c>
      <c r="H138">
        <f>-MAX(MIN(20,20-10*LOG10(2*Masks[[#This Row],[f]]/480000000)),12-3)</f>
        <v>-9</v>
      </c>
      <c r="I138">
        <f>10*LOG10(POWER(10,Tx_power_us/10)/F_Nyquist_us)+IF(Masks[[#This Row],[f]]&gt;F_Nyquist_us,-50)</f>
        <v>-98.470325397914564</v>
      </c>
      <c r="J138" s="3">
        <f>10*LOG10(POWER(10,Tx_power_ds/10)/F_Nyquist_ds)+IF(Masks[[#This Row],[f]]&gt;F_Nyquist_ds,-50)</f>
        <v>-98.470325397914564</v>
      </c>
      <c r="K138" s="3">
        <f>IF(Masks[[#This Row],[f]]&gt;F_Nyquist_us,0,1)</f>
        <v>1</v>
      </c>
      <c r="L138" s="3">
        <f>IF(Masks[[#This Row],[f]]&gt;F_Nyquist_ds,0,1)</f>
        <v>1</v>
      </c>
      <c r="M138" s="3">
        <f>Config!B$7</f>
        <v>-40</v>
      </c>
      <c r="N138" s="3">
        <f>IF(Config!B$8&gt;0,10*LOG10($T$1*Masks[[#This Row],[f]]+Config!B$8*0.00073),-1000)</f>
        <v>-9.6768349723959464</v>
      </c>
      <c r="O138" s="3">
        <f>10*LOG10((10^(Masks[[#This Row],[wire_echo]]/10))+(10^(Masks[[#This Row],[connector_echo]]/10)))</f>
        <v>-9.6728053318201077</v>
      </c>
      <c r="P138" s="65"/>
      <c r="Q138" s="65"/>
    </row>
    <row r="139" spans="1:17" x14ac:dyDescent="0.25">
      <c r="A139" s="2">
        <v>-98.470325397914564</v>
      </c>
      <c r="B139" s="2">
        <v>-98.470325397914564</v>
      </c>
      <c r="D139">
        <f>Calculate[[#This Row],[Freq]]</f>
        <v>6210000000</v>
      </c>
      <c r="E139" s="2">
        <f>MIN(-90, -89-Masks[[#This Row],[f]]/(600000000*S_ch_us),-82-Masks[[#This Row],[f]]/(250000000*S_ch_us))-K_ch_UPSD_us</f>
        <v>-97.119400086720375</v>
      </c>
      <c r="F139" s="2">
        <f>MIN(-90, -89-Masks[[#This Row],[f]]/(600000000*S_ch_ds),-82-Masks[[#This Row],[f]]/(250000000*S_ch_ds))-K_ch_UPSD_ds</f>
        <v>-97.119400086720375</v>
      </c>
      <c r="G139">
        <f>-MAX(MIN(20,20-10*LOG10(2*Masks[[#This Row],[f]]/480000000)),12-3)</f>
        <v>-9</v>
      </c>
      <c r="H139">
        <f>-MAX(MIN(20,20-10*LOG10(2*Masks[[#This Row],[f]]/480000000)),12-3)</f>
        <v>-9</v>
      </c>
      <c r="I139">
        <f>10*LOG10(POWER(10,Tx_power_us/10)/F_Nyquist_us)+IF(Masks[[#This Row],[f]]&gt;F_Nyquist_us,-50)</f>
        <v>-98.470325397914564</v>
      </c>
      <c r="J139" s="3">
        <f>10*LOG10(POWER(10,Tx_power_ds/10)/F_Nyquist_ds)+IF(Masks[[#This Row],[f]]&gt;F_Nyquist_ds,-50)</f>
        <v>-98.470325397914564</v>
      </c>
      <c r="K139" s="3">
        <f>IF(Masks[[#This Row],[f]]&gt;F_Nyquist_us,0,1)</f>
        <v>1</v>
      </c>
      <c r="L139" s="3">
        <f>IF(Masks[[#This Row],[f]]&gt;F_Nyquist_ds,0,1)</f>
        <v>1</v>
      </c>
      <c r="M139" s="3">
        <f>Config!B$7</f>
        <v>-40</v>
      </c>
      <c r="N139" s="3">
        <f>IF(Config!B$8&gt;0,10*LOG10($T$1*Masks[[#This Row],[f]]+Config!B$8*0.00073),-1000)</f>
        <v>-9.6461029080132299</v>
      </c>
      <c r="O139" s="3">
        <f>10*LOG10((10^(Masks[[#This Row],[wire_echo]]/10))+(10^(Masks[[#This Row],[connector_echo]]/10)))</f>
        <v>-9.6421016687224306</v>
      </c>
      <c r="P139" s="65"/>
      <c r="Q139" s="65"/>
    </row>
    <row r="140" spans="1:17" x14ac:dyDescent="0.25">
      <c r="A140" s="2">
        <v>-98.470325397914564</v>
      </c>
      <c r="B140" s="2">
        <v>-98.470325397914564</v>
      </c>
      <c r="D140">
        <f>Calculate[[#This Row],[Freq]]</f>
        <v>6255000000</v>
      </c>
      <c r="E140" s="2">
        <f>MIN(-90, -89-Masks[[#This Row],[f]]/(600000000*S_ch_us),-82-Masks[[#This Row],[f]]/(250000000*S_ch_us))-K_ch_UPSD_us</f>
        <v>-97.149400086720377</v>
      </c>
      <c r="F140" s="2">
        <f>MIN(-90, -89-Masks[[#This Row],[f]]/(600000000*S_ch_ds),-82-Masks[[#This Row],[f]]/(250000000*S_ch_ds))-K_ch_UPSD_ds</f>
        <v>-97.149400086720377</v>
      </c>
      <c r="G140">
        <f>-MAX(MIN(20,20-10*LOG10(2*Masks[[#This Row],[f]]/480000000)),12-3)</f>
        <v>-9</v>
      </c>
      <c r="H140">
        <f>-MAX(MIN(20,20-10*LOG10(2*Masks[[#This Row],[f]]/480000000)),12-3)</f>
        <v>-9</v>
      </c>
      <c r="I140">
        <f>10*LOG10(POWER(10,Tx_power_us/10)/F_Nyquist_us)+IF(Masks[[#This Row],[f]]&gt;F_Nyquist_us,-50)</f>
        <v>-98.470325397914564</v>
      </c>
      <c r="J140" s="3">
        <f>10*LOG10(POWER(10,Tx_power_ds/10)/F_Nyquist_ds)+IF(Masks[[#This Row],[f]]&gt;F_Nyquist_ds,-50)</f>
        <v>-98.470325397914564</v>
      </c>
      <c r="K140" s="3">
        <f>IF(Masks[[#This Row],[f]]&gt;F_Nyquist_us,0,1)</f>
        <v>1</v>
      </c>
      <c r="L140" s="3">
        <f>IF(Masks[[#This Row],[f]]&gt;F_Nyquist_ds,0,1)</f>
        <v>1</v>
      </c>
      <c r="M140" s="3">
        <f>Config!B$7</f>
        <v>-40</v>
      </c>
      <c r="N140" s="3">
        <f>IF(Config!B$8&gt;0,10*LOG10($T$1*Masks[[#This Row],[f]]+Config!B$8*0.00073),-1000)</f>
        <v>-9.6155867863469755</v>
      </c>
      <c r="O140" s="3">
        <f>10*LOG10((10^(Masks[[#This Row],[wire_echo]]/10))+(10^(Masks[[#This Row],[connector_echo]]/10)))</f>
        <v>-9.6116135507932974</v>
      </c>
      <c r="P140" s="65"/>
      <c r="Q140" s="65"/>
    </row>
    <row r="141" spans="1:17" x14ac:dyDescent="0.25">
      <c r="A141" s="2">
        <v>-98.470325397914564</v>
      </c>
      <c r="B141" s="2">
        <v>-98.470325397914564</v>
      </c>
      <c r="D141">
        <f>Calculate[[#This Row],[Freq]]</f>
        <v>6300000000</v>
      </c>
      <c r="E141" s="2">
        <f>MIN(-90, -89-Masks[[#This Row],[f]]/(600000000*S_ch_us),-82-Masks[[#This Row],[f]]/(250000000*S_ch_us))-K_ch_UPSD_us</f>
        <v>-97.179400086720378</v>
      </c>
      <c r="F141" s="2">
        <f>MIN(-90, -89-Masks[[#This Row],[f]]/(600000000*S_ch_ds),-82-Masks[[#This Row],[f]]/(250000000*S_ch_ds))-K_ch_UPSD_ds</f>
        <v>-97.179400086720378</v>
      </c>
      <c r="G141">
        <f>-MAX(MIN(20,20-10*LOG10(2*Masks[[#This Row],[f]]/480000000)),12-3)</f>
        <v>-9</v>
      </c>
      <c r="H141">
        <f>-MAX(MIN(20,20-10*LOG10(2*Masks[[#This Row],[f]]/480000000)),12-3)</f>
        <v>-9</v>
      </c>
      <c r="I141">
        <f>10*LOG10(POWER(10,Tx_power_us/10)/F_Nyquist_us)+IF(Masks[[#This Row],[f]]&gt;F_Nyquist_us,-50)</f>
        <v>-98.470325397914564</v>
      </c>
      <c r="J141" s="3">
        <f>10*LOG10(POWER(10,Tx_power_ds/10)/F_Nyquist_ds)+IF(Masks[[#This Row],[f]]&gt;F_Nyquist_ds,-50)</f>
        <v>-98.470325397914564</v>
      </c>
      <c r="K141" s="3">
        <f>IF(Masks[[#This Row],[f]]&gt;F_Nyquist_us,0,1)</f>
        <v>1</v>
      </c>
      <c r="L141" s="3">
        <f>IF(Masks[[#This Row],[f]]&gt;F_Nyquist_ds,0,1)</f>
        <v>1</v>
      </c>
      <c r="M141" s="3">
        <f>Config!B$7</f>
        <v>-40</v>
      </c>
      <c r="N141" s="3">
        <f>IF(Config!B$8&gt;0,10*LOG10($T$1*Masks[[#This Row],[f]]+Config!B$8*0.00073),-1000)</f>
        <v>-9.5852835938625276</v>
      </c>
      <c r="O141" s="3">
        <f>10*LOG10((10^(Masks[[#This Row],[wire_echo]]/10))+(10^(Masks[[#This Row],[connector_echo]]/10)))</f>
        <v>-9.5813379727870736</v>
      </c>
      <c r="P141" s="65"/>
      <c r="Q141" s="65"/>
    </row>
    <row r="142" spans="1:17" x14ac:dyDescent="0.25">
      <c r="A142" s="2">
        <v>-98.470325397914564</v>
      </c>
      <c r="B142" s="2">
        <v>-98.470325397914564</v>
      </c>
      <c r="D142">
        <f>Calculate[[#This Row],[Freq]]</f>
        <v>6345000000</v>
      </c>
      <c r="E142" s="2">
        <f>MIN(-90, -89-Masks[[#This Row],[f]]/(600000000*S_ch_us),-82-Masks[[#This Row],[f]]/(250000000*S_ch_us))-K_ch_UPSD_us</f>
        <v>-97.209400086720379</v>
      </c>
      <c r="F142" s="2">
        <f>MIN(-90, -89-Masks[[#This Row],[f]]/(600000000*S_ch_ds),-82-Masks[[#This Row],[f]]/(250000000*S_ch_ds))-K_ch_UPSD_ds</f>
        <v>-97.209400086720379</v>
      </c>
      <c r="G142">
        <f>-MAX(MIN(20,20-10*LOG10(2*Masks[[#This Row],[f]]/480000000)),12-3)</f>
        <v>-9</v>
      </c>
      <c r="H142">
        <f>-MAX(MIN(20,20-10*LOG10(2*Masks[[#This Row],[f]]/480000000)),12-3)</f>
        <v>-9</v>
      </c>
      <c r="I142">
        <f>10*LOG10(POWER(10,Tx_power_us/10)/F_Nyquist_us)+IF(Masks[[#This Row],[f]]&gt;F_Nyquist_us,-50)</f>
        <v>-98.470325397914564</v>
      </c>
      <c r="J142" s="3">
        <f>10*LOG10(POWER(10,Tx_power_ds/10)/F_Nyquist_ds)+IF(Masks[[#This Row],[f]]&gt;F_Nyquist_ds,-50)</f>
        <v>-98.470325397914564</v>
      </c>
      <c r="K142" s="3">
        <f>IF(Masks[[#This Row],[f]]&gt;F_Nyquist_us,0,1)</f>
        <v>1</v>
      </c>
      <c r="L142" s="3">
        <f>IF(Masks[[#This Row],[f]]&gt;F_Nyquist_ds,0,1)</f>
        <v>1</v>
      </c>
      <c r="M142" s="3">
        <f>Config!B$7</f>
        <v>-40</v>
      </c>
      <c r="N142" s="3">
        <f>IF(Config!B$8&gt;0,10*LOG10($T$1*Masks[[#This Row],[f]]+Config!B$8*0.00073),-1000)</f>
        <v>-9.5551903796703126</v>
      </c>
      <c r="O142" s="3">
        <f>10*LOG10((10^(Masks[[#This Row],[wire_echo]]/10))+(10^(Masks[[#This Row],[connector_echo]]/10)))</f>
        <v>-9.5512719918743603</v>
      </c>
      <c r="P142" s="65"/>
      <c r="Q142" s="65"/>
    </row>
    <row r="143" spans="1:17" x14ac:dyDescent="0.25">
      <c r="A143" s="2">
        <v>-98.470325397914564</v>
      </c>
      <c r="B143" s="2">
        <v>-98.470325397914564</v>
      </c>
      <c r="D143">
        <f>Calculate[[#This Row],[Freq]]</f>
        <v>6390000000</v>
      </c>
      <c r="E143" s="2">
        <f>MIN(-90, -89-Masks[[#This Row],[f]]/(600000000*S_ch_us),-82-Masks[[#This Row],[f]]/(250000000*S_ch_us))-K_ch_UPSD_us</f>
        <v>-97.23940008672038</v>
      </c>
      <c r="F143" s="2">
        <f>MIN(-90, -89-Masks[[#This Row],[f]]/(600000000*S_ch_ds),-82-Masks[[#This Row],[f]]/(250000000*S_ch_ds))-K_ch_UPSD_ds</f>
        <v>-97.23940008672038</v>
      </c>
      <c r="G143">
        <f>-MAX(MIN(20,20-10*LOG10(2*Masks[[#This Row],[f]]/480000000)),12-3)</f>
        <v>-9</v>
      </c>
      <c r="H143">
        <f>-MAX(MIN(20,20-10*LOG10(2*Masks[[#This Row],[f]]/480000000)),12-3)</f>
        <v>-9</v>
      </c>
      <c r="I143">
        <f>10*LOG10(POWER(10,Tx_power_us/10)/F_Nyquist_us)+IF(Masks[[#This Row],[f]]&gt;F_Nyquist_us,-50)</f>
        <v>-98.470325397914564</v>
      </c>
      <c r="J143" s="3">
        <f>10*LOG10(POWER(10,Tx_power_ds/10)/F_Nyquist_ds)+IF(Masks[[#This Row],[f]]&gt;F_Nyquist_ds,-50)</f>
        <v>-98.470325397914564</v>
      </c>
      <c r="K143" s="3">
        <f>IF(Masks[[#This Row],[f]]&gt;F_Nyquist_us,0,1)</f>
        <v>1</v>
      </c>
      <c r="L143" s="3">
        <f>IF(Masks[[#This Row],[f]]&gt;F_Nyquist_ds,0,1)</f>
        <v>1</v>
      </c>
      <c r="M143" s="3">
        <f>Config!B$7</f>
        <v>-40</v>
      </c>
      <c r="N143" s="3">
        <f>IF(Config!B$8&gt;0,10*LOG10($T$1*Masks[[#This Row],[f]]+Config!B$8*0.00073),-1000)</f>
        <v>-9.5253042538014334</v>
      </c>
      <c r="O143" s="3">
        <f>10*LOG10((10^(Masks[[#This Row],[wire_echo]]/10))+(10^(Masks[[#This Row],[connector_echo]]/10)))</f>
        <v>-9.5214127259254333</v>
      </c>
      <c r="P143" s="65"/>
      <c r="Q143" s="65"/>
    </row>
    <row r="144" spans="1:17" x14ac:dyDescent="0.25">
      <c r="A144" s="2">
        <v>-98.470325397914564</v>
      </c>
      <c r="B144" s="2">
        <v>-98.470325397914564</v>
      </c>
      <c r="D144">
        <f>Calculate[[#This Row],[Freq]]</f>
        <v>6435000000</v>
      </c>
      <c r="E144" s="2">
        <f>MIN(-90, -89-Masks[[#This Row],[f]]/(600000000*S_ch_us),-82-Masks[[#This Row],[f]]/(250000000*S_ch_us))-K_ch_UPSD_us</f>
        <v>-97.269400086720381</v>
      </c>
      <c r="F144" s="2">
        <f>MIN(-90, -89-Masks[[#This Row],[f]]/(600000000*S_ch_ds),-82-Masks[[#This Row],[f]]/(250000000*S_ch_ds))-K_ch_UPSD_ds</f>
        <v>-97.269400086720381</v>
      </c>
      <c r="G144">
        <f>-MAX(MIN(20,20-10*LOG10(2*Masks[[#This Row],[f]]/480000000)),12-3)</f>
        <v>-9</v>
      </c>
      <c r="H144">
        <f>-MAX(MIN(20,20-10*LOG10(2*Masks[[#This Row],[f]]/480000000)),12-3)</f>
        <v>-9</v>
      </c>
      <c r="I144">
        <f>10*LOG10(POWER(10,Tx_power_us/10)/F_Nyquist_us)+IF(Masks[[#This Row],[f]]&gt;F_Nyquist_us,-50)</f>
        <v>-98.470325397914564</v>
      </c>
      <c r="J144" s="3">
        <f>10*LOG10(POWER(10,Tx_power_ds/10)/F_Nyquist_ds)+IF(Masks[[#This Row],[f]]&gt;F_Nyquist_ds,-50)</f>
        <v>-98.470325397914564</v>
      </c>
      <c r="K144" s="3">
        <f>IF(Masks[[#This Row],[f]]&gt;F_Nyquist_us,0,1)</f>
        <v>1</v>
      </c>
      <c r="L144" s="3">
        <f>IF(Masks[[#This Row],[f]]&gt;F_Nyquist_ds,0,1)</f>
        <v>1</v>
      </c>
      <c r="M144" s="3">
        <f>Config!B$7</f>
        <v>-40</v>
      </c>
      <c r="N144" s="3">
        <f>IF(Config!B$8&gt;0,10*LOG10($T$1*Masks[[#This Row],[f]]+Config!B$8*0.00073),-1000)</f>
        <v>-9.4956223855422035</v>
      </c>
      <c r="O144" s="3">
        <f>10*LOG10((10^(Masks[[#This Row],[wire_echo]]/10))+(10^(Masks[[#This Row],[connector_echo]]/10)))</f>
        <v>-9.4917573518522875</v>
      </c>
      <c r="P144" s="65"/>
      <c r="Q144" s="65"/>
    </row>
    <row r="145" spans="1:17" x14ac:dyDescent="0.25">
      <c r="A145" s="2">
        <v>-98.470325397914564</v>
      </c>
      <c r="B145" s="2">
        <v>-98.470325397914564</v>
      </c>
      <c r="D145">
        <f>Calculate[[#This Row],[Freq]]</f>
        <v>6480000000</v>
      </c>
      <c r="E145" s="2">
        <f>MIN(-90, -89-Masks[[#This Row],[f]]/(600000000*S_ch_us),-82-Masks[[#This Row],[f]]/(250000000*S_ch_us))-K_ch_UPSD_us</f>
        <v>-97.299400086720368</v>
      </c>
      <c r="F145" s="2">
        <f>MIN(-90, -89-Masks[[#This Row],[f]]/(600000000*S_ch_ds),-82-Masks[[#This Row],[f]]/(250000000*S_ch_ds))-K_ch_UPSD_ds</f>
        <v>-97.299400086720368</v>
      </c>
      <c r="G145">
        <f>-MAX(MIN(20,20-10*LOG10(2*Masks[[#This Row],[f]]/480000000)),12-3)</f>
        <v>-9</v>
      </c>
      <c r="H145">
        <f>-MAX(MIN(20,20-10*LOG10(2*Masks[[#This Row],[f]]/480000000)),12-3)</f>
        <v>-9</v>
      </c>
      <c r="I145">
        <f>10*LOG10(POWER(10,Tx_power_us/10)/F_Nyquist_us)+IF(Masks[[#This Row],[f]]&gt;F_Nyquist_us,-50)</f>
        <v>-98.470325397914564</v>
      </c>
      <c r="J145" s="3">
        <f>10*LOG10(POWER(10,Tx_power_ds/10)/F_Nyquist_ds)+IF(Masks[[#This Row],[f]]&gt;F_Nyquist_ds,-50)</f>
        <v>-98.470325397914564</v>
      </c>
      <c r="K145" s="3">
        <f>IF(Masks[[#This Row],[f]]&gt;F_Nyquist_us,0,1)</f>
        <v>1</v>
      </c>
      <c r="L145" s="3">
        <f>IF(Masks[[#This Row],[f]]&gt;F_Nyquist_ds,0,1)</f>
        <v>1</v>
      </c>
      <c r="M145" s="3">
        <f>Config!B$7</f>
        <v>-40</v>
      </c>
      <c r="N145" s="3">
        <f>IF(Config!B$8&gt;0,10*LOG10($T$1*Masks[[#This Row],[f]]+Config!B$8*0.00073),-1000)</f>
        <v>-9.4661420018251814</v>
      </c>
      <c r="O145" s="3">
        <f>10*LOG10((10^(Masks[[#This Row],[wire_echo]]/10))+(10^(Masks[[#This Row],[connector_echo]]/10)))</f>
        <v>-9.4623031040069101</v>
      </c>
      <c r="P145" s="65"/>
      <c r="Q145" s="65"/>
    </row>
    <row r="146" spans="1:17" x14ac:dyDescent="0.25">
      <c r="A146" s="2">
        <v>-98.470325397914564</v>
      </c>
      <c r="B146" s="2">
        <v>-98.470325397914564</v>
      </c>
      <c r="D146">
        <f>Calculate[[#This Row],[Freq]]</f>
        <v>6525000000</v>
      </c>
      <c r="E146" s="2">
        <f>MIN(-90, -89-Masks[[#This Row],[f]]/(600000000*S_ch_us),-82-Masks[[#This Row],[f]]/(250000000*S_ch_us))-K_ch_UPSD_us</f>
        <v>-97.329400086720369</v>
      </c>
      <c r="F146" s="2">
        <f>MIN(-90, -89-Masks[[#This Row],[f]]/(600000000*S_ch_ds),-82-Masks[[#This Row],[f]]/(250000000*S_ch_ds))-K_ch_UPSD_ds</f>
        <v>-97.329400086720369</v>
      </c>
      <c r="G146">
        <f>-MAX(MIN(20,20-10*LOG10(2*Masks[[#This Row],[f]]/480000000)),12-3)</f>
        <v>-9</v>
      </c>
      <c r="H146">
        <f>-MAX(MIN(20,20-10*LOG10(2*Masks[[#This Row],[f]]/480000000)),12-3)</f>
        <v>-9</v>
      </c>
      <c r="I146">
        <f>10*LOG10(POWER(10,Tx_power_us/10)/F_Nyquist_us)+IF(Masks[[#This Row],[f]]&gt;F_Nyquist_us,-50)</f>
        <v>-98.470325397914564</v>
      </c>
      <c r="J146" s="3">
        <f>10*LOG10(POWER(10,Tx_power_ds/10)/F_Nyquist_ds)+IF(Masks[[#This Row],[f]]&gt;F_Nyquist_ds,-50)</f>
        <v>-98.470325397914564</v>
      </c>
      <c r="K146" s="3">
        <f>IF(Masks[[#This Row],[f]]&gt;F_Nyquist_us,0,1)</f>
        <v>1</v>
      </c>
      <c r="L146" s="3">
        <f>IF(Masks[[#This Row],[f]]&gt;F_Nyquist_ds,0,1)</f>
        <v>1</v>
      </c>
      <c r="M146" s="3">
        <f>Config!B$7</f>
        <v>-40</v>
      </c>
      <c r="N146" s="3">
        <f>IF(Config!B$8&gt;0,10*LOG10($T$1*Masks[[#This Row],[f]]+Config!B$8*0.00073),-1000)</f>
        <v>-9.4368603856744766</v>
      </c>
      <c r="O146" s="3">
        <f>10*LOG10((10^(Masks[[#This Row],[wire_echo]]/10))+(10^(Masks[[#This Row],[connector_echo]]/10)))</f>
        <v>-9.4330472726334964</v>
      </c>
      <c r="P146" s="65"/>
      <c r="Q146" s="65"/>
    </row>
    <row r="147" spans="1:17" x14ac:dyDescent="0.25">
      <c r="A147" s="2">
        <v>-98.470325397914564</v>
      </c>
      <c r="B147" s="2">
        <v>-98.470325397914564</v>
      </c>
      <c r="D147">
        <f>Calculate[[#This Row],[Freq]]</f>
        <v>6570000000</v>
      </c>
      <c r="E147" s="2">
        <f>MIN(-90, -89-Masks[[#This Row],[f]]/(600000000*S_ch_us),-82-Masks[[#This Row],[f]]/(250000000*S_ch_us))-K_ch_UPSD_us</f>
        <v>-97.35940008672037</v>
      </c>
      <c r="F147" s="2">
        <f>MIN(-90, -89-Masks[[#This Row],[f]]/(600000000*S_ch_ds),-82-Masks[[#This Row],[f]]/(250000000*S_ch_ds))-K_ch_UPSD_ds</f>
        <v>-97.35940008672037</v>
      </c>
      <c r="G147">
        <f>-MAX(MIN(20,20-10*LOG10(2*Masks[[#This Row],[f]]/480000000)),12-3)</f>
        <v>-9</v>
      </c>
      <c r="H147">
        <f>-MAX(MIN(20,20-10*LOG10(2*Masks[[#This Row],[f]]/480000000)),12-3)</f>
        <v>-9</v>
      </c>
      <c r="I147">
        <f>10*LOG10(POWER(10,Tx_power_us/10)/F_Nyquist_us)+IF(Masks[[#This Row],[f]]&gt;F_Nyquist_us,-50)</f>
        <v>-98.470325397914564</v>
      </c>
      <c r="J147" s="3">
        <f>10*LOG10(POWER(10,Tx_power_ds/10)/F_Nyquist_ds)+IF(Masks[[#This Row],[f]]&gt;F_Nyquist_ds,-50)</f>
        <v>-98.470325397914564</v>
      </c>
      <c r="K147" s="3">
        <f>IF(Masks[[#This Row],[f]]&gt;F_Nyquist_us,0,1)</f>
        <v>1</v>
      </c>
      <c r="L147" s="3">
        <f>IF(Masks[[#This Row],[f]]&gt;F_Nyquist_ds,0,1)</f>
        <v>1</v>
      </c>
      <c r="M147" s="3">
        <f>Config!B$7</f>
        <v>-40</v>
      </c>
      <c r="N147" s="3">
        <f>IF(Config!B$8&gt;0,10*LOG10($T$1*Masks[[#This Row],[f]]+Config!B$8*0.00073),-1000)</f>
        <v>-9.4077748747031027</v>
      </c>
      <c r="O147" s="3">
        <f>10*LOG10((10^(Masks[[#This Row],[wire_echo]]/10))+(10^(Masks[[#This Row],[connector_echo]]/10)))</f>
        <v>-9.4039872023724609</v>
      </c>
      <c r="P147" s="65"/>
      <c r="Q147" s="65"/>
    </row>
    <row r="148" spans="1:17" x14ac:dyDescent="0.25">
      <c r="A148" s="2">
        <v>-98.470325397914564</v>
      </c>
      <c r="B148" s="2">
        <v>-98.470325397914564</v>
      </c>
      <c r="D148">
        <f>Calculate[[#This Row],[Freq]]</f>
        <v>6615000000</v>
      </c>
      <c r="E148" s="2">
        <f>MIN(-90, -89-Masks[[#This Row],[f]]/(600000000*S_ch_us),-82-Masks[[#This Row],[f]]/(250000000*S_ch_us))-K_ch_UPSD_us</f>
        <v>-97.389400086720372</v>
      </c>
      <c r="F148" s="2">
        <f>MIN(-90, -89-Masks[[#This Row],[f]]/(600000000*S_ch_ds),-82-Masks[[#This Row],[f]]/(250000000*S_ch_ds))-K_ch_UPSD_ds</f>
        <v>-97.389400086720372</v>
      </c>
      <c r="G148">
        <f>-MAX(MIN(20,20-10*LOG10(2*Masks[[#This Row],[f]]/480000000)),12-3)</f>
        <v>-9</v>
      </c>
      <c r="H148">
        <f>-MAX(MIN(20,20-10*LOG10(2*Masks[[#This Row],[f]]/480000000)),12-3)</f>
        <v>-9</v>
      </c>
      <c r="I148">
        <f>10*LOG10(POWER(10,Tx_power_us/10)/F_Nyquist_us)+IF(Masks[[#This Row],[f]]&gt;F_Nyquist_us,-50)</f>
        <v>-98.470325397914564</v>
      </c>
      <c r="J148" s="3">
        <f>10*LOG10(POWER(10,Tx_power_ds/10)/F_Nyquist_ds)+IF(Masks[[#This Row],[f]]&gt;F_Nyquist_ds,-50)</f>
        <v>-98.470325397914564</v>
      </c>
      <c r="K148" s="3">
        <f>IF(Masks[[#This Row],[f]]&gt;F_Nyquist_us,0,1)</f>
        <v>1</v>
      </c>
      <c r="L148" s="3">
        <f>IF(Masks[[#This Row],[f]]&gt;F_Nyquist_ds,0,1)</f>
        <v>1</v>
      </c>
      <c r="M148" s="3">
        <f>Config!B$7</f>
        <v>-40</v>
      </c>
      <c r="N148" s="3">
        <f>IF(Config!B$8&gt;0,10*LOG10($T$1*Masks[[#This Row],[f]]+Config!B$8*0.00073),-1000)</f>
        <v>-9.3788828596603153</v>
      </c>
      <c r="O148" s="3">
        <f>10*LOG10((10^(Masks[[#This Row],[wire_echo]]/10))+(10^(Masks[[#This Row],[connector_echo]]/10)))</f>
        <v>-9.3751202908141593</v>
      </c>
      <c r="P148" s="65"/>
      <c r="Q148" s="65"/>
    </row>
    <row r="149" spans="1:17" x14ac:dyDescent="0.25">
      <c r="A149" s="2">
        <v>-98.470325397914564</v>
      </c>
      <c r="B149" s="2">
        <v>-98.470325397914564</v>
      </c>
      <c r="D149">
        <f>Calculate[[#This Row],[Freq]]</f>
        <v>6660000000</v>
      </c>
      <c r="E149" s="2">
        <f>MIN(-90, -89-Masks[[#This Row],[f]]/(600000000*S_ch_us),-82-Masks[[#This Row],[f]]/(250000000*S_ch_us))-K_ch_UPSD_us</f>
        <v>-97.419400086720373</v>
      </c>
      <c r="F149" s="2">
        <f>MIN(-90, -89-Masks[[#This Row],[f]]/(600000000*S_ch_ds),-82-Masks[[#This Row],[f]]/(250000000*S_ch_ds))-K_ch_UPSD_ds</f>
        <v>-97.419400086720373</v>
      </c>
      <c r="G149">
        <f>-MAX(MIN(20,20-10*LOG10(2*Masks[[#This Row],[f]]/480000000)),12-3)</f>
        <v>-9</v>
      </c>
      <c r="H149">
        <f>-MAX(MIN(20,20-10*LOG10(2*Masks[[#This Row],[f]]/480000000)),12-3)</f>
        <v>-9</v>
      </c>
      <c r="I149">
        <f>10*LOG10(POWER(10,Tx_power_us/10)/F_Nyquist_us)+IF(Masks[[#This Row],[f]]&gt;F_Nyquist_us,-50)</f>
        <v>-98.470325397914564</v>
      </c>
      <c r="J149" s="3">
        <f>10*LOG10(POWER(10,Tx_power_ds/10)/F_Nyquist_ds)+IF(Masks[[#This Row],[f]]&gt;F_Nyquist_ds,-50)</f>
        <v>-98.470325397914564</v>
      </c>
      <c r="K149" s="3">
        <f>IF(Masks[[#This Row],[f]]&gt;F_Nyquist_us,0,1)</f>
        <v>1</v>
      </c>
      <c r="L149" s="3">
        <f>IF(Masks[[#This Row],[f]]&gt;F_Nyquist_ds,0,1)</f>
        <v>1</v>
      </c>
      <c r="M149" s="3">
        <f>Config!B$7</f>
        <v>-40</v>
      </c>
      <c r="N149" s="3">
        <f>IF(Config!B$8&gt;0,10*LOG10($T$1*Masks[[#This Row],[f]]+Config!B$8*0.00073),-1000)</f>
        <v>-9.3501817830269456</v>
      </c>
      <c r="O149" s="3">
        <f>10*LOG10((10^(Masks[[#This Row],[wire_echo]]/10))+(10^(Masks[[#This Row],[connector_echo]]/10)))</f>
        <v>-9.3464439871003488</v>
      </c>
      <c r="P149" s="65"/>
      <c r="Q149" s="65"/>
    </row>
    <row r="150" spans="1:17" x14ac:dyDescent="0.25">
      <c r="A150" s="2">
        <v>-98.470325397914564</v>
      </c>
      <c r="B150" s="2">
        <v>-98.470325397914564</v>
      </c>
      <c r="D150">
        <f>Calculate[[#This Row],[Freq]]</f>
        <v>6705000000</v>
      </c>
      <c r="E150" s="2">
        <f>MIN(-90, -89-Masks[[#This Row],[f]]/(600000000*S_ch_us),-82-Masks[[#This Row],[f]]/(250000000*S_ch_us))-K_ch_UPSD_us</f>
        <v>-97.449400086720374</v>
      </c>
      <c r="F150" s="2">
        <f>MIN(-90, -89-Masks[[#This Row],[f]]/(600000000*S_ch_ds),-82-Masks[[#This Row],[f]]/(250000000*S_ch_ds))-K_ch_UPSD_ds</f>
        <v>-97.449400086720374</v>
      </c>
      <c r="G150">
        <f>-MAX(MIN(20,20-10*LOG10(2*Masks[[#This Row],[f]]/480000000)),12-3)</f>
        <v>-9</v>
      </c>
      <c r="H150">
        <f>-MAX(MIN(20,20-10*LOG10(2*Masks[[#This Row],[f]]/480000000)),12-3)</f>
        <v>-9</v>
      </c>
      <c r="I150">
        <f>10*LOG10(POWER(10,Tx_power_us/10)/F_Nyquist_us)+IF(Masks[[#This Row],[f]]&gt;F_Nyquist_us,-50)</f>
        <v>-98.470325397914564</v>
      </c>
      <c r="J150" s="3">
        <f>10*LOG10(POWER(10,Tx_power_ds/10)/F_Nyquist_ds)+IF(Masks[[#This Row],[f]]&gt;F_Nyquist_ds,-50)</f>
        <v>-98.470325397914564</v>
      </c>
      <c r="K150" s="3">
        <f>IF(Masks[[#This Row],[f]]&gt;F_Nyquist_us,0,1)</f>
        <v>1</v>
      </c>
      <c r="L150" s="3">
        <f>IF(Masks[[#This Row],[f]]&gt;F_Nyquist_ds,0,1)</f>
        <v>1</v>
      </c>
      <c r="M150" s="3">
        <f>Config!B$7</f>
        <v>-40</v>
      </c>
      <c r="N150" s="3">
        <f>IF(Config!B$8&gt;0,10*LOG10($T$1*Masks[[#This Row],[f]]+Config!B$8*0.00073),-1000)</f>
        <v>-9.3216691376568619</v>
      </c>
      <c r="O150" s="3">
        <f>10*LOG10((10^(Masks[[#This Row],[wire_echo]]/10))+(10^(Masks[[#This Row],[connector_echo]]/10)))</f>
        <v>-9.317955790571558</v>
      </c>
      <c r="P150" s="65"/>
      <c r="Q150" s="65"/>
    </row>
    <row r="151" spans="1:17" x14ac:dyDescent="0.25">
      <c r="A151" s="2">
        <v>-98.470325397914564</v>
      </c>
      <c r="B151" s="2">
        <v>-98.470325397914564</v>
      </c>
      <c r="D151">
        <f>Calculate[[#This Row],[Freq]]</f>
        <v>6750000000</v>
      </c>
      <c r="E151" s="2">
        <f>MIN(-90, -89-Masks[[#This Row],[f]]/(600000000*S_ch_us),-82-Masks[[#This Row],[f]]/(250000000*S_ch_us))-K_ch_UPSD_us</f>
        <v>-97.479400086720375</v>
      </c>
      <c r="F151" s="2">
        <f>MIN(-90, -89-Masks[[#This Row],[f]]/(600000000*S_ch_ds),-82-Masks[[#This Row],[f]]/(250000000*S_ch_ds))-K_ch_UPSD_ds</f>
        <v>-97.479400086720375</v>
      </c>
      <c r="G151">
        <f>-MAX(MIN(20,20-10*LOG10(2*Masks[[#This Row],[f]]/480000000)),12-3)</f>
        <v>-9</v>
      </c>
      <c r="H151">
        <f>-MAX(MIN(20,20-10*LOG10(2*Masks[[#This Row],[f]]/480000000)),12-3)</f>
        <v>-9</v>
      </c>
      <c r="I151">
        <f>10*LOG10(POWER(10,Tx_power_us/10)/F_Nyquist_us)+IF(Masks[[#This Row],[f]]&gt;F_Nyquist_us,-50)</f>
        <v>-98.470325397914564</v>
      </c>
      <c r="J151" s="3">
        <f>10*LOG10(POWER(10,Tx_power_ds/10)/F_Nyquist_ds)+IF(Masks[[#This Row],[f]]&gt;F_Nyquist_ds,-50)</f>
        <v>-98.470325397914564</v>
      </c>
      <c r="K151" s="3">
        <f>IF(Masks[[#This Row],[f]]&gt;F_Nyquist_us,0,1)</f>
        <v>1</v>
      </c>
      <c r="L151" s="3">
        <f>IF(Masks[[#This Row],[f]]&gt;F_Nyquist_ds,0,1)</f>
        <v>1</v>
      </c>
      <c r="M151" s="3">
        <f>Config!B$7</f>
        <v>-40</v>
      </c>
      <c r="N151" s="3">
        <f>IF(Config!B$8&gt;0,10*LOG10($T$1*Masks[[#This Row],[f]]+Config!B$8*0.00073),-1000)</f>
        <v>-9.2933424654627217</v>
      </c>
      <c r="O151" s="3">
        <f>10*LOG10((10^(Masks[[#This Row],[wire_echo]]/10))+(10^(Masks[[#This Row],[connector_echo]]/10)))</f>
        <v>-9.2896532494584836</v>
      </c>
      <c r="P151" s="65"/>
      <c r="Q151" s="65"/>
    </row>
    <row r="152" spans="1:17" x14ac:dyDescent="0.25">
      <c r="A152" s="2">
        <v>-98.470325397914564</v>
      </c>
      <c r="B152" s="2">
        <v>-98.470325397914564</v>
      </c>
      <c r="D152">
        <f>Calculate[[#This Row],[Freq]]</f>
        <v>6795000000</v>
      </c>
      <c r="E152" s="2">
        <f>MIN(-90, -89-Masks[[#This Row],[f]]/(600000000*S_ch_us),-82-Masks[[#This Row],[f]]/(250000000*S_ch_us))-K_ch_UPSD_us</f>
        <v>-97.509400086720376</v>
      </c>
      <c r="F152" s="2">
        <f>MIN(-90, -89-Masks[[#This Row],[f]]/(600000000*S_ch_ds),-82-Masks[[#This Row],[f]]/(250000000*S_ch_ds))-K_ch_UPSD_ds</f>
        <v>-97.509400086720376</v>
      </c>
      <c r="G152">
        <f>-MAX(MIN(20,20-10*LOG10(2*Masks[[#This Row],[f]]/480000000)),12-3)</f>
        <v>-9</v>
      </c>
      <c r="H152">
        <f>-MAX(MIN(20,20-10*LOG10(2*Masks[[#This Row],[f]]/480000000)),12-3)</f>
        <v>-9</v>
      </c>
      <c r="I152">
        <f>10*LOG10(POWER(10,Tx_power_us/10)/F_Nyquist_us)+IF(Masks[[#This Row],[f]]&gt;F_Nyquist_us,-50)</f>
        <v>-98.470325397914564</v>
      </c>
      <c r="J152" s="3">
        <f>10*LOG10(POWER(10,Tx_power_ds/10)/F_Nyquist_ds)+IF(Masks[[#This Row],[f]]&gt;F_Nyquist_ds,-50)</f>
        <v>-98.470325397914564</v>
      </c>
      <c r="K152" s="3">
        <f>IF(Masks[[#This Row],[f]]&gt;F_Nyquist_us,0,1)</f>
        <v>1</v>
      </c>
      <c r="L152" s="3">
        <f>IF(Masks[[#This Row],[f]]&gt;F_Nyquist_ds,0,1)</f>
        <v>1</v>
      </c>
      <c r="M152" s="3">
        <f>Config!B$7</f>
        <v>-40</v>
      </c>
      <c r="N152" s="3">
        <f>IF(Config!B$8&gt;0,10*LOG10($T$1*Masks[[#This Row],[f]]+Config!B$8*0.00073),-1000)</f>
        <v>-9.2651993561443096</v>
      </c>
      <c r="O152" s="3">
        <f>10*LOG10((10^(Masks[[#This Row],[wire_echo]]/10))+(10^(Masks[[#This Row],[connector_echo]]/10)))</f>
        <v>-9.2615339596157806</v>
      </c>
      <c r="P152" s="65"/>
      <c r="Q152" s="65"/>
    </row>
    <row r="153" spans="1:17" x14ac:dyDescent="0.25">
      <c r="A153" s="2">
        <v>-98.470325397914564</v>
      </c>
      <c r="B153" s="2">
        <v>-98.470325397914564</v>
      </c>
      <c r="D153">
        <f>Calculate[[#This Row],[Freq]]</f>
        <v>6840000000</v>
      </c>
      <c r="E153" s="2">
        <f>MIN(-90, -89-Masks[[#This Row],[f]]/(600000000*S_ch_us),-82-Masks[[#This Row],[f]]/(250000000*S_ch_us))-K_ch_UPSD_us</f>
        <v>-97.539400086720377</v>
      </c>
      <c r="F153" s="2">
        <f>MIN(-90, -89-Masks[[#This Row],[f]]/(600000000*S_ch_ds),-82-Masks[[#This Row],[f]]/(250000000*S_ch_ds))-K_ch_UPSD_ds</f>
        <v>-97.539400086720377</v>
      </c>
      <c r="G153">
        <f>-MAX(MIN(20,20-10*LOG10(2*Masks[[#This Row],[f]]/480000000)),12-3)</f>
        <v>-9</v>
      </c>
      <c r="H153">
        <f>-MAX(MIN(20,20-10*LOG10(2*Masks[[#This Row],[f]]/480000000)),12-3)</f>
        <v>-9</v>
      </c>
      <c r="I153">
        <f>10*LOG10(POWER(10,Tx_power_us/10)/F_Nyquist_us)+IF(Masks[[#This Row],[f]]&gt;F_Nyquist_us,-50)</f>
        <v>-98.470325397914564</v>
      </c>
      <c r="J153" s="3">
        <f>10*LOG10(POWER(10,Tx_power_ds/10)/F_Nyquist_ds)+IF(Masks[[#This Row],[f]]&gt;F_Nyquist_ds,-50)</f>
        <v>-98.470325397914564</v>
      </c>
      <c r="K153" s="3">
        <f>IF(Masks[[#This Row],[f]]&gt;F_Nyquist_us,0,1)</f>
        <v>1</v>
      </c>
      <c r="L153" s="3">
        <f>IF(Masks[[#This Row],[f]]&gt;F_Nyquist_ds,0,1)</f>
        <v>1</v>
      </c>
      <c r="M153" s="3">
        <f>Config!B$7</f>
        <v>-40</v>
      </c>
      <c r="N153" s="3">
        <f>IF(Config!B$8&gt;0,10*LOG10($T$1*Masks[[#This Row],[f]]+Config!B$8*0.00073),-1000)</f>
        <v>-9.2372374459578239</v>
      </c>
      <c r="O153" s="3">
        <f>10*LOG10((10^(Masks[[#This Row],[wire_echo]]/10))+(10^(Masks[[#This Row],[connector_echo]]/10)))</f>
        <v>-9.233595563296582</v>
      </c>
      <c r="P153" s="65"/>
      <c r="Q153" s="65"/>
    </row>
    <row r="154" spans="1:17" x14ac:dyDescent="0.25">
      <c r="A154" s="2">
        <v>-98.470325397914564</v>
      </c>
      <c r="B154" s="2">
        <v>-98.470325397914564</v>
      </c>
      <c r="D154">
        <f>Calculate[[#This Row],[Freq]]</f>
        <v>6885000000</v>
      </c>
      <c r="E154" s="2">
        <f>MIN(-90, -89-Masks[[#This Row],[f]]/(600000000*S_ch_us),-82-Masks[[#This Row],[f]]/(250000000*S_ch_us))-K_ch_UPSD_us</f>
        <v>-97.569400086720378</v>
      </c>
      <c r="F154" s="2">
        <f>MIN(-90, -89-Masks[[#This Row],[f]]/(600000000*S_ch_ds),-82-Masks[[#This Row],[f]]/(250000000*S_ch_ds))-K_ch_UPSD_ds</f>
        <v>-97.569400086720378</v>
      </c>
      <c r="G154">
        <f>-MAX(MIN(20,20-10*LOG10(2*Masks[[#This Row],[f]]/480000000)),12-3)</f>
        <v>-9</v>
      </c>
      <c r="H154">
        <f>-MAX(MIN(20,20-10*LOG10(2*Masks[[#This Row],[f]]/480000000)),12-3)</f>
        <v>-9</v>
      </c>
      <c r="I154">
        <f>10*LOG10(POWER(10,Tx_power_us/10)/F_Nyquist_us)+IF(Masks[[#This Row],[f]]&gt;F_Nyquist_us,-50)</f>
        <v>-98.470325397914564</v>
      </c>
      <c r="J154" s="3">
        <f>10*LOG10(POWER(10,Tx_power_ds/10)/F_Nyquist_ds)+IF(Masks[[#This Row],[f]]&gt;F_Nyquist_ds,-50)</f>
        <v>-98.470325397914564</v>
      </c>
      <c r="K154" s="3">
        <f>IF(Masks[[#This Row],[f]]&gt;F_Nyquist_us,0,1)</f>
        <v>1</v>
      </c>
      <c r="L154" s="3">
        <f>IF(Masks[[#This Row],[f]]&gt;F_Nyquist_ds,0,1)</f>
        <v>1</v>
      </c>
      <c r="M154" s="3">
        <f>Config!B$7</f>
        <v>-40</v>
      </c>
      <c r="N154" s="3">
        <f>IF(Config!B$8&gt;0,10*LOG10($T$1*Masks[[#This Row],[f]]+Config!B$8*0.00073),-1000)</f>
        <v>-9.2094544165245136</v>
      </c>
      <c r="O154" s="3">
        <f>10*LOG10((10^(Masks[[#This Row],[wire_echo]]/10))+(10^(Masks[[#This Row],[connector_echo]]/10)))</f>
        <v>-9.2058357479661694</v>
      </c>
      <c r="P154" s="65"/>
      <c r="Q154" s="65"/>
    </row>
    <row r="155" spans="1:17" x14ac:dyDescent="0.25">
      <c r="A155" s="2">
        <v>-98.470325397914564</v>
      </c>
      <c r="B155" s="2">
        <v>-98.470325397914564</v>
      </c>
      <c r="D155">
        <f>Calculate[[#This Row],[Freq]]</f>
        <v>6930000000</v>
      </c>
      <c r="E155" s="2">
        <f>MIN(-90, -89-Masks[[#This Row],[f]]/(600000000*S_ch_us),-82-Masks[[#This Row],[f]]/(250000000*S_ch_us))-K_ch_UPSD_us</f>
        <v>-97.599400086720379</v>
      </c>
      <c r="F155" s="2">
        <f>MIN(-90, -89-Masks[[#This Row],[f]]/(600000000*S_ch_ds),-82-Masks[[#This Row],[f]]/(250000000*S_ch_ds))-K_ch_UPSD_ds</f>
        <v>-97.599400086720379</v>
      </c>
      <c r="G155">
        <f>-MAX(MIN(20,20-10*LOG10(2*Masks[[#This Row],[f]]/480000000)),12-3)</f>
        <v>-9</v>
      </c>
      <c r="H155">
        <f>-MAX(MIN(20,20-10*LOG10(2*Masks[[#This Row],[f]]/480000000)),12-3)</f>
        <v>-9</v>
      </c>
      <c r="I155">
        <f>10*LOG10(POWER(10,Tx_power_us/10)/F_Nyquist_us)+IF(Masks[[#This Row],[f]]&gt;F_Nyquist_us,-50)</f>
        <v>-98.470325397914564</v>
      </c>
      <c r="J155" s="3">
        <f>10*LOG10(POWER(10,Tx_power_ds/10)/F_Nyquist_ds)+IF(Masks[[#This Row],[f]]&gt;F_Nyquist_ds,-50)</f>
        <v>-98.470325397914564</v>
      </c>
      <c r="K155" s="3">
        <f>IF(Masks[[#This Row],[f]]&gt;F_Nyquist_us,0,1)</f>
        <v>1</v>
      </c>
      <c r="L155" s="3">
        <f>IF(Masks[[#This Row],[f]]&gt;F_Nyquist_ds,0,1)</f>
        <v>1</v>
      </c>
      <c r="M155" s="3">
        <f>Config!B$7</f>
        <v>-40</v>
      </c>
      <c r="N155" s="3">
        <f>IF(Config!B$8&gt;0,10*LOG10($T$1*Masks[[#This Row],[f]]+Config!B$8*0.00073),-1000)</f>
        <v>-9.1818479936772022</v>
      </c>
      <c r="O155" s="3">
        <f>10*LOG10((10^(Masks[[#This Row],[wire_echo]]/10))+(10^(Masks[[#This Row],[connector_echo]]/10)))</f>
        <v>-9.1782522451533382</v>
      </c>
      <c r="P155" s="65"/>
      <c r="Q155" s="65"/>
    </row>
    <row r="156" spans="1:17" x14ac:dyDescent="0.25">
      <c r="A156" s="2">
        <v>-98.470325397914564</v>
      </c>
      <c r="B156" s="2">
        <v>-98.470325397914564</v>
      </c>
      <c r="D156">
        <f>Calculate[[#This Row],[Freq]]</f>
        <v>6975000000</v>
      </c>
      <c r="E156" s="2">
        <f>MIN(-90, -89-Masks[[#This Row],[f]]/(600000000*S_ch_us),-82-Masks[[#This Row],[f]]/(250000000*S_ch_us))-K_ch_UPSD_us</f>
        <v>-97.629400086720381</v>
      </c>
      <c r="F156" s="2">
        <f>MIN(-90, -89-Masks[[#This Row],[f]]/(600000000*S_ch_ds),-82-Masks[[#This Row],[f]]/(250000000*S_ch_ds))-K_ch_UPSD_ds</f>
        <v>-97.629400086720381</v>
      </c>
      <c r="G156">
        <f>-MAX(MIN(20,20-10*LOG10(2*Masks[[#This Row],[f]]/480000000)),12-3)</f>
        <v>-9</v>
      </c>
      <c r="H156">
        <f>-MAX(MIN(20,20-10*LOG10(2*Masks[[#This Row],[f]]/480000000)),12-3)</f>
        <v>-9</v>
      </c>
      <c r="I156">
        <f>10*LOG10(POWER(10,Tx_power_us/10)/F_Nyquist_us)+IF(Masks[[#This Row],[f]]&gt;F_Nyquist_us,-50)</f>
        <v>-98.470325397914564</v>
      </c>
      <c r="J156" s="3">
        <f>10*LOG10(POWER(10,Tx_power_ds/10)/F_Nyquist_ds)+IF(Masks[[#This Row],[f]]&gt;F_Nyquist_ds,-50)</f>
        <v>-98.470325397914564</v>
      </c>
      <c r="K156" s="3">
        <f>IF(Masks[[#This Row],[f]]&gt;F_Nyquist_us,0,1)</f>
        <v>1</v>
      </c>
      <c r="L156" s="3">
        <f>IF(Masks[[#This Row],[f]]&gt;F_Nyquist_ds,0,1)</f>
        <v>1</v>
      </c>
      <c r="M156" s="3">
        <f>Config!B$7</f>
        <v>-40</v>
      </c>
      <c r="N156" s="3">
        <f>IF(Config!B$8&gt;0,10*LOG10($T$1*Masks[[#This Row],[f]]+Config!B$8*0.00073),-1000)</f>
        <v>-9.154415946343212</v>
      </c>
      <c r="O156" s="3">
        <f>10*LOG10((10^(Masks[[#This Row],[wire_echo]]/10))+(10^(Masks[[#This Row],[connector_echo]]/10)))</f>
        <v>-9.1508428293379787</v>
      </c>
      <c r="P156" s="65"/>
      <c r="Q156" s="65"/>
    </row>
    <row r="157" spans="1:17" x14ac:dyDescent="0.25">
      <c r="A157" s="2">
        <v>-98.470325397914564</v>
      </c>
      <c r="B157" s="2">
        <v>-98.470325397914564</v>
      </c>
      <c r="D157">
        <f>Calculate[[#This Row],[Freq]]</f>
        <v>7020000000</v>
      </c>
      <c r="E157" s="2">
        <f>MIN(-90, -89-Masks[[#This Row],[f]]/(600000000*S_ch_us),-82-Masks[[#This Row],[f]]/(250000000*S_ch_us))-K_ch_UPSD_us</f>
        <v>-97.659400086720382</v>
      </c>
      <c r="F157" s="2">
        <f>MIN(-90, -89-Masks[[#This Row],[f]]/(600000000*S_ch_ds),-82-Masks[[#This Row],[f]]/(250000000*S_ch_ds))-K_ch_UPSD_ds</f>
        <v>-97.659400086720382</v>
      </c>
      <c r="G157">
        <f>-MAX(MIN(20,20-10*LOG10(2*Masks[[#This Row],[f]]/480000000)),12-3)</f>
        <v>-9</v>
      </c>
      <c r="H157">
        <f>-MAX(MIN(20,20-10*LOG10(2*Masks[[#This Row],[f]]/480000000)),12-3)</f>
        <v>-9</v>
      </c>
      <c r="I157">
        <f>10*LOG10(POWER(10,Tx_power_us/10)/F_Nyquist_us)+IF(Masks[[#This Row],[f]]&gt;F_Nyquist_us,-50)</f>
        <v>-98.470325397914564</v>
      </c>
      <c r="J157" s="3">
        <f>10*LOG10(POWER(10,Tx_power_ds/10)/F_Nyquist_ds)+IF(Masks[[#This Row],[f]]&gt;F_Nyquist_ds,-50)</f>
        <v>-98.470325397914564</v>
      </c>
      <c r="K157" s="3">
        <f>IF(Masks[[#This Row],[f]]&gt;F_Nyquist_us,0,1)</f>
        <v>1</v>
      </c>
      <c r="L157" s="3">
        <f>IF(Masks[[#This Row],[f]]&gt;F_Nyquist_ds,0,1)</f>
        <v>1</v>
      </c>
      <c r="M157" s="3">
        <f>Config!B$7</f>
        <v>-40</v>
      </c>
      <c r="N157" s="3">
        <f>IF(Config!B$8&gt;0,10*LOG10($T$1*Masks[[#This Row],[f]]+Config!B$8*0.00073),-1000)</f>
        <v>-9.127156085462385</v>
      </c>
      <c r="O157" s="3">
        <f>10*LOG10((10^(Masks[[#This Row],[wire_echo]]/10))+(10^(Masks[[#This Row],[connector_echo]]/10)))</f>
        <v>-9.1236053168735882</v>
      </c>
      <c r="P157" s="65"/>
      <c r="Q157" s="65"/>
    </row>
    <row r="158" spans="1:17" x14ac:dyDescent="0.25">
      <c r="A158" s="2">
        <v>-148.47032539791456</v>
      </c>
      <c r="B158" s="2">
        <v>-148.47032539791456</v>
      </c>
      <c r="D158">
        <f>Calculate[[#This Row],[Freq]]</f>
        <v>7065000000</v>
      </c>
      <c r="E158" s="2">
        <f>MIN(-90, -89-Masks[[#This Row],[f]]/(600000000*S_ch_us),-82-Masks[[#This Row],[f]]/(250000000*S_ch_us))-K_ch_UPSD_us</f>
        <v>-97.689400086720369</v>
      </c>
      <c r="F158" s="2">
        <f>MIN(-90, -89-Masks[[#This Row],[f]]/(600000000*S_ch_ds),-82-Masks[[#This Row],[f]]/(250000000*S_ch_ds))-K_ch_UPSD_ds</f>
        <v>-97.689400086720369</v>
      </c>
      <c r="G158">
        <f>-MAX(MIN(20,20-10*LOG10(2*Masks[[#This Row],[f]]/480000000)),12-3)</f>
        <v>-9</v>
      </c>
      <c r="H158">
        <f>-MAX(MIN(20,20-10*LOG10(2*Masks[[#This Row],[f]]/480000000)),12-3)</f>
        <v>-9</v>
      </c>
      <c r="I158">
        <f>10*LOG10(POWER(10,Tx_power_us/10)/F_Nyquist_us)+IF(Masks[[#This Row],[f]]&gt;F_Nyquist_us,-50)</f>
        <v>-148.47032539791456</v>
      </c>
      <c r="J158" s="3">
        <f>10*LOG10(POWER(10,Tx_power_ds/10)/F_Nyquist_ds)+IF(Masks[[#This Row],[f]]&gt;F_Nyquist_ds,-50)</f>
        <v>-148.47032539791456</v>
      </c>
      <c r="K158" s="3">
        <f>IF(Masks[[#This Row],[f]]&gt;F_Nyquist_us,0,1)</f>
        <v>0</v>
      </c>
      <c r="L158" s="3">
        <f>IF(Masks[[#This Row],[f]]&gt;F_Nyquist_ds,0,1)</f>
        <v>0</v>
      </c>
      <c r="M158" s="3">
        <f>Config!B$7</f>
        <v>-40</v>
      </c>
      <c r="N158" s="3">
        <f>IF(Config!B$8&gt;0,10*LOG10($T$1*Masks[[#This Row],[f]]+Config!B$8*0.00073),-1000)</f>
        <v>-9.1000662629388156</v>
      </c>
      <c r="O158" s="3">
        <f>10*LOG10((10^(Masks[[#This Row],[wire_echo]]/10))+(10^(Masks[[#This Row],[connector_echo]]/10)))</f>
        <v>-9.0965375649433184</v>
      </c>
      <c r="P158" s="65"/>
      <c r="Q158" s="65"/>
    </row>
    <row r="159" spans="1:17" x14ac:dyDescent="0.25">
      <c r="A159" s="2">
        <v>-148.47032539791456</v>
      </c>
      <c r="B159" s="2">
        <v>-148.47032539791456</v>
      </c>
      <c r="D159">
        <f>Calculate[[#This Row],[Freq]]</f>
        <v>7110000000</v>
      </c>
      <c r="E159" s="2">
        <f>MIN(-90, -89-Masks[[#This Row],[f]]/(600000000*S_ch_us),-82-Masks[[#This Row],[f]]/(250000000*S_ch_us))-K_ch_UPSD_us</f>
        <v>-97.71940008672037</v>
      </c>
      <c r="F159" s="2">
        <f>MIN(-90, -89-Masks[[#This Row],[f]]/(600000000*S_ch_ds),-82-Masks[[#This Row],[f]]/(250000000*S_ch_ds))-K_ch_UPSD_ds</f>
        <v>-97.71940008672037</v>
      </c>
      <c r="G159">
        <f>-MAX(MIN(20,20-10*LOG10(2*Masks[[#This Row],[f]]/480000000)),12-3)</f>
        <v>-9</v>
      </c>
      <c r="H159">
        <f>-MAX(MIN(20,20-10*LOG10(2*Masks[[#This Row],[f]]/480000000)),12-3)</f>
        <v>-9</v>
      </c>
      <c r="I159">
        <f>10*LOG10(POWER(10,Tx_power_us/10)/F_Nyquist_us)+IF(Masks[[#This Row],[f]]&gt;F_Nyquist_us,-50)</f>
        <v>-148.47032539791456</v>
      </c>
      <c r="J159" s="3">
        <f>10*LOG10(POWER(10,Tx_power_ds/10)/F_Nyquist_ds)+IF(Masks[[#This Row],[f]]&gt;F_Nyquist_ds,-50)</f>
        <v>-148.47032539791456</v>
      </c>
      <c r="K159" s="3">
        <f>IF(Masks[[#This Row],[f]]&gt;F_Nyquist_us,0,1)</f>
        <v>0</v>
      </c>
      <c r="L159" s="3">
        <f>IF(Masks[[#This Row],[f]]&gt;F_Nyquist_ds,0,1)</f>
        <v>0</v>
      </c>
      <c r="M159" s="3">
        <f>Config!B$7</f>
        <v>-40</v>
      </c>
      <c r="N159" s="3">
        <f>IF(Config!B$8&gt;0,10*LOG10($T$1*Masks[[#This Row],[f]]+Config!B$8*0.00073),-1000)</f>
        <v>-9.0731443706250925</v>
      </c>
      <c r="O159" s="3">
        <f>10*LOG10((10^(Masks[[#This Row],[wire_echo]]/10))+(10^(Masks[[#This Row],[connector_echo]]/10)))</f>
        <v>-9.0696374705483702</v>
      </c>
      <c r="P159" s="65"/>
      <c r="Q159" s="65"/>
    </row>
    <row r="160" spans="1:17" x14ac:dyDescent="0.25">
      <c r="A160" s="2">
        <v>-148.47032539791456</v>
      </c>
      <c r="B160" s="2">
        <v>-148.47032539791456</v>
      </c>
      <c r="D160">
        <f>Calculate[[#This Row],[Freq]]</f>
        <v>7155000000</v>
      </c>
      <c r="E160" s="2">
        <f>MIN(-90, -89-Masks[[#This Row],[f]]/(600000000*S_ch_us),-82-Masks[[#This Row],[f]]/(250000000*S_ch_us))-K_ch_UPSD_us</f>
        <v>-97.749400086720371</v>
      </c>
      <c r="F160" s="2">
        <f>MIN(-90, -89-Masks[[#This Row],[f]]/(600000000*S_ch_ds),-82-Masks[[#This Row],[f]]/(250000000*S_ch_ds))-K_ch_UPSD_ds</f>
        <v>-97.749400086720371</v>
      </c>
      <c r="G160">
        <f>-MAX(MIN(20,20-10*LOG10(2*Masks[[#This Row],[f]]/480000000)),12-3)</f>
        <v>-9</v>
      </c>
      <c r="H160">
        <f>-MAX(MIN(20,20-10*LOG10(2*Masks[[#This Row],[f]]/480000000)),12-3)</f>
        <v>-9</v>
      </c>
      <c r="I160">
        <f>10*LOG10(POWER(10,Tx_power_us/10)/F_Nyquist_us)+IF(Masks[[#This Row],[f]]&gt;F_Nyquist_us,-50)</f>
        <v>-148.47032539791456</v>
      </c>
      <c r="J160" s="3">
        <f>10*LOG10(POWER(10,Tx_power_ds/10)/F_Nyquist_ds)+IF(Masks[[#This Row],[f]]&gt;F_Nyquist_ds,-50)</f>
        <v>-148.47032539791456</v>
      </c>
      <c r="K160" s="3">
        <f>IF(Masks[[#This Row],[f]]&gt;F_Nyquist_us,0,1)</f>
        <v>0</v>
      </c>
      <c r="L160" s="3">
        <f>IF(Masks[[#This Row],[f]]&gt;F_Nyquist_ds,0,1)</f>
        <v>0</v>
      </c>
      <c r="M160" s="3">
        <f>Config!B$7</f>
        <v>-40</v>
      </c>
      <c r="N160" s="3">
        <f>IF(Config!B$8&gt;0,10*LOG10($T$1*Masks[[#This Row],[f]]+Config!B$8*0.00073),-1000)</f>
        <v>-9.0463883393378293</v>
      </c>
      <c r="O160" s="3">
        <f>10*LOG10((10^(Masks[[#This Row],[wire_echo]]/10))+(10^(Masks[[#This Row],[connector_echo]]/10)))</f>
        <v>-9.0429029695275283</v>
      </c>
      <c r="P160" s="65"/>
      <c r="Q160" s="65"/>
    </row>
    <row r="161" spans="1:17" x14ac:dyDescent="0.25">
      <c r="A161" s="2">
        <v>-148.47032539791456</v>
      </c>
      <c r="B161" s="2">
        <v>-148.47032539791456</v>
      </c>
      <c r="D161">
        <f>Calculate[[#This Row],[Freq]]</f>
        <v>7200000000</v>
      </c>
      <c r="E161" s="2">
        <f>MIN(-90, -89-Masks[[#This Row],[f]]/(600000000*S_ch_us),-82-Masks[[#This Row],[f]]/(250000000*S_ch_us))-K_ch_UPSD_us</f>
        <v>-97.779400086720372</v>
      </c>
      <c r="F161" s="2">
        <f>MIN(-90, -89-Masks[[#This Row],[f]]/(600000000*S_ch_ds),-82-Masks[[#This Row],[f]]/(250000000*S_ch_ds))-K_ch_UPSD_ds</f>
        <v>-97.779400086720372</v>
      </c>
      <c r="G161">
        <f>-MAX(MIN(20,20-10*LOG10(2*Masks[[#This Row],[f]]/480000000)),12-3)</f>
        <v>-9</v>
      </c>
      <c r="H161">
        <f>-MAX(MIN(20,20-10*LOG10(2*Masks[[#This Row],[f]]/480000000)),12-3)</f>
        <v>-9</v>
      </c>
      <c r="I161">
        <f>10*LOG10(POWER(10,Tx_power_us/10)/F_Nyquist_us)+IF(Masks[[#This Row],[f]]&gt;F_Nyquist_us,-50)</f>
        <v>-148.47032539791456</v>
      </c>
      <c r="J161" s="3">
        <f>10*LOG10(POWER(10,Tx_power_ds/10)/F_Nyquist_ds)+IF(Masks[[#This Row],[f]]&gt;F_Nyquist_ds,-50)</f>
        <v>-148.47032539791456</v>
      </c>
      <c r="K161" s="3">
        <f>IF(Masks[[#This Row],[f]]&gt;F_Nyquist_us,0,1)</f>
        <v>0</v>
      </c>
      <c r="L161" s="3">
        <f>IF(Masks[[#This Row],[f]]&gt;F_Nyquist_ds,0,1)</f>
        <v>0</v>
      </c>
      <c r="M161" s="3">
        <f>Config!B$7</f>
        <v>-40</v>
      </c>
      <c r="N161" s="3">
        <f>IF(Config!B$8&gt;0,10*LOG10($T$1*Masks[[#This Row],[f]]+Config!B$8*0.00073),-1000)</f>
        <v>-9.0197961379033256</v>
      </c>
      <c r="O161" s="3">
        <f>10*LOG10((10^(Masks[[#This Row],[wire_echo]]/10))+(10^(Masks[[#This Row],[connector_echo]]/10)))</f>
        <v>-9.0163320356066912</v>
      </c>
      <c r="P161" s="65"/>
      <c r="Q161" s="65"/>
    </row>
    <row r="162" spans="1:17" x14ac:dyDescent="0.25">
      <c r="A162" s="2">
        <v>-148.47032539791456</v>
      </c>
      <c r="B162" s="2">
        <v>-148.47032539791456</v>
      </c>
      <c r="D162">
        <f>Calculate[[#This Row],[Freq]]</f>
        <v>7245000000</v>
      </c>
      <c r="E162" s="2">
        <f>MIN(-90, -89-Masks[[#This Row],[f]]/(600000000*S_ch_us),-82-Masks[[#This Row],[f]]/(250000000*S_ch_us))-K_ch_UPSD_us</f>
        <v>-97.809400086720373</v>
      </c>
      <c r="F162" s="2">
        <f>MIN(-90, -89-Masks[[#This Row],[f]]/(600000000*S_ch_ds),-82-Masks[[#This Row],[f]]/(250000000*S_ch_ds))-K_ch_UPSD_ds</f>
        <v>-97.809400086720373</v>
      </c>
      <c r="G162">
        <f>-MAX(MIN(20,20-10*LOG10(2*Masks[[#This Row],[f]]/480000000)),12-3)</f>
        <v>-9</v>
      </c>
      <c r="H162">
        <f>-MAX(MIN(20,20-10*LOG10(2*Masks[[#This Row],[f]]/480000000)),12-3)</f>
        <v>-9</v>
      </c>
      <c r="I162">
        <f>10*LOG10(POWER(10,Tx_power_us/10)/F_Nyquist_us)+IF(Masks[[#This Row],[f]]&gt;F_Nyquist_us,-50)</f>
        <v>-148.47032539791456</v>
      </c>
      <c r="J162" s="3">
        <f>10*LOG10(POWER(10,Tx_power_ds/10)/F_Nyquist_ds)+IF(Masks[[#This Row],[f]]&gt;F_Nyquist_ds,-50)</f>
        <v>-148.47032539791456</v>
      </c>
      <c r="K162" s="3">
        <f>IF(Masks[[#This Row],[f]]&gt;F_Nyquist_us,0,1)</f>
        <v>0</v>
      </c>
      <c r="L162" s="3">
        <f>IF(Masks[[#This Row],[f]]&gt;F_Nyquist_ds,0,1)</f>
        <v>0</v>
      </c>
      <c r="M162" s="3">
        <f>Config!B$7</f>
        <v>-40</v>
      </c>
      <c r="N162" s="3">
        <f>IF(Config!B$8&gt;0,10*LOG10($T$1*Masks[[#This Row],[f]]+Config!B$8*0.00073),-1000)</f>
        <v>-8.9933657722322842</v>
      </c>
      <c r="O162" s="3">
        <f>10*LOG10((10^(Masks[[#This Row],[wire_echo]]/10))+(10^(Masks[[#This Row],[connector_echo]]/10)))</f>
        <v>-8.989922679477294</v>
      </c>
      <c r="P162" s="65"/>
      <c r="Q162" s="65"/>
    </row>
    <row r="163" spans="1:17" x14ac:dyDescent="0.25">
      <c r="A163" s="2">
        <v>-148.47032539791456</v>
      </c>
      <c r="B163" s="2">
        <v>-148.47032539791456</v>
      </c>
      <c r="D163">
        <f>Calculate[[#This Row],[Freq]]</f>
        <v>7290000000</v>
      </c>
      <c r="E163" s="2">
        <f>MIN(-90, -89-Masks[[#This Row],[f]]/(600000000*S_ch_us),-82-Masks[[#This Row],[f]]/(250000000*S_ch_us))-K_ch_UPSD_us</f>
        <v>-97.839400086720374</v>
      </c>
      <c r="F163" s="2">
        <f>MIN(-90, -89-Masks[[#This Row],[f]]/(600000000*S_ch_ds),-82-Masks[[#This Row],[f]]/(250000000*S_ch_ds))-K_ch_UPSD_ds</f>
        <v>-97.839400086720374</v>
      </c>
      <c r="G163">
        <f>-MAX(MIN(20,20-10*LOG10(2*Masks[[#This Row],[f]]/480000000)),12-3)</f>
        <v>-9</v>
      </c>
      <c r="H163">
        <f>-MAX(MIN(20,20-10*LOG10(2*Masks[[#This Row],[f]]/480000000)),12-3)</f>
        <v>-9</v>
      </c>
      <c r="I163">
        <f>10*LOG10(POWER(10,Tx_power_us/10)/F_Nyquist_us)+IF(Masks[[#This Row],[f]]&gt;F_Nyquist_us,-50)</f>
        <v>-148.47032539791456</v>
      </c>
      <c r="J163" s="3">
        <f>10*LOG10(POWER(10,Tx_power_ds/10)/F_Nyquist_ds)+IF(Masks[[#This Row],[f]]&gt;F_Nyquist_ds,-50)</f>
        <v>-148.47032539791456</v>
      </c>
      <c r="K163" s="3">
        <f>IF(Masks[[#This Row],[f]]&gt;F_Nyquist_us,0,1)</f>
        <v>0</v>
      </c>
      <c r="L163" s="3">
        <f>IF(Masks[[#This Row],[f]]&gt;F_Nyquist_ds,0,1)</f>
        <v>0</v>
      </c>
      <c r="M163" s="3">
        <f>Config!B$7</f>
        <v>-40</v>
      </c>
      <c r="N163" s="3">
        <f>IF(Config!B$8&gt;0,10*LOG10($T$1*Masks[[#This Row],[f]]+Config!B$8*0.00073),-1000)</f>
        <v>-8.9670952844225056</v>
      </c>
      <c r="O163" s="3">
        <f>10*LOG10((10^(Masks[[#This Row],[wire_echo]]/10))+(10^(Masks[[#This Row],[connector_echo]]/10)))</f>
        <v>-8.9636729479025909</v>
      </c>
      <c r="P163" s="65"/>
      <c r="Q163" s="65"/>
    </row>
    <row r="164" spans="1:17" x14ac:dyDescent="0.25">
      <c r="A164" s="2">
        <v>-148.47032539791456</v>
      </c>
      <c r="B164" s="2">
        <v>-148.47032539791456</v>
      </c>
      <c r="D164">
        <f>Calculate[[#This Row],[Freq]]</f>
        <v>7335000000</v>
      </c>
      <c r="E164" s="2">
        <f>MIN(-90, -89-Masks[[#This Row],[f]]/(600000000*S_ch_us),-82-Masks[[#This Row],[f]]/(250000000*S_ch_us))-K_ch_UPSD_us</f>
        <v>-97.869400086720375</v>
      </c>
      <c r="F164" s="2">
        <f>MIN(-90, -89-Masks[[#This Row],[f]]/(600000000*S_ch_ds),-82-Masks[[#This Row],[f]]/(250000000*S_ch_ds))-K_ch_UPSD_ds</f>
        <v>-97.869400086720375</v>
      </c>
      <c r="G164">
        <f>-MAX(MIN(20,20-10*LOG10(2*Masks[[#This Row],[f]]/480000000)),12-3)</f>
        <v>-9</v>
      </c>
      <c r="H164">
        <f>-MAX(MIN(20,20-10*LOG10(2*Masks[[#This Row],[f]]/480000000)),12-3)</f>
        <v>-9</v>
      </c>
      <c r="I164">
        <f>10*LOG10(POWER(10,Tx_power_us/10)/F_Nyquist_us)+IF(Masks[[#This Row],[f]]&gt;F_Nyquist_us,-50)</f>
        <v>-148.47032539791456</v>
      </c>
      <c r="J164" s="3">
        <f>10*LOG10(POWER(10,Tx_power_ds/10)/F_Nyquist_ds)+IF(Masks[[#This Row],[f]]&gt;F_Nyquist_ds,-50)</f>
        <v>-148.47032539791456</v>
      </c>
      <c r="K164" s="3">
        <f>IF(Masks[[#This Row],[f]]&gt;F_Nyquist_us,0,1)</f>
        <v>0</v>
      </c>
      <c r="L164" s="3">
        <f>IF(Masks[[#This Row],[f]]&gt;F_Nyquist_ds,0,1)</f>
        <v>0</v>
      </c>
      <c r="M164" s="3">
        <f>Config!B$7</f>
        <v>-40</v>
      </c>
      <c r="N164" s="3">
        <f>IF(Config!B$8&gt;0,10*LOG10($T$1*Masks[[#This Row],[f]]+Config!B$8*0.00073),-1000)</f>
        <v>-8.9409827518885443</v>
      </c>
      <c r="O164" s="3">
        <f>10*LOG10((10^(Masks[[#This Row],[wire_echo]]/10))+(10^(Masks[[#This Row],[connector_echo]]/10)))</f>
        <v>-8.9375809228507599</v>
      </c>
      <c r="P164" s="65"/>
      <c r="Q164" s="65"/>
    </row>
    <row r="165" spans="1:17" x14ac:dyDescent="0.25">
      <c r="A165" s="2">
        <v>-148.47032539791456</v>
      </c>
      <c r="B165" s="2">
        <v>-148.47032539791456</v>
      </c>
      <c r="D165">
        <f>Calculate[[#This Row],[Freq]]</f>
        <v>7380000000</v>
      </c>
      <c r="E165" s="2">
        <f>MIN(-90, -89-Masks[[#This Row],[f]]/(600000000*S_ch_us),-82-Masks[[#This Row],[f]]/(250000000*S_ch_us))-K_ch_UPSD_us</f>
        <v>-97.899400086720377</v>
      </c>
      <c r="F165" s="2">
        <f>MIN(-90, -89-Masks[[#This Row],[f]]/(600000000*S_ch_ds),-82-Masks[[#This Row],[f]]/(250000000*S_ch_ds))-K_ch_UPSD_ds</f>
        <v>-97.899400086720377</v>
      </c>
      <c r="G165">
        <f>-MAX(MIN(20,20-10*LOG10(2*Masks[[#This Row],[f]]/480000000)),12-3)</f>
        <v>-9</v>
      </c>
      <c r="H165">
        <f>-MAX(MIN(20,20-10*LOG10(2*Masks[[#This Row],[f]]/480000000)),12-3)</f>
        <v>-9</v>
      </c>
      <c r="I165">
        <f>10*LOG10(POWER(10,Tx_power_us/10)/F_Nyquist_us)+IF(Masks[[#This Row],[f]]&gt;F_Nyquist_us,-50)</f>
        <v>-148.47032539791456</v>
      </c>
      <c r="J165" s="3">
        <f>10*LOG10(POWER(10,Tx_power_ds/10)/F_Nyquist_ds)+IF(Masks[[#This Row],[f]]&gt;F_Nyquist_ds,-50)</f>
        <v>-148.47032539791456</v>
      </c>
      <c r="K165" s="3">
        <f>IF(Masks[[#This Row],[f]]&gt;F_Nyquist_us,0,1)</f>
        <v>0</v>
      </c>
      <c r="L165" s="3">
        <f>IF(Masks[[#This Row],[f]]&gt;F_Nyquist_ds,0,1)</f>
        <v>0</v>
      </c>
      <c r="M165" s="3">
        <f>Config!B$7</f>
        <v>-40</v>
      </c>
      <c r="N165" s="3">
        <f>IF(Config!B$8&gt;0,10*LOG10($T$1*Masks[[#This Row],[f]]+Config!B$8*0.00073),-1000)</f>
        <v>-8.9150262865174099</v>
      </c>
      <c r="O165" s="3">
        <f>10*LOG10((10^(Masks[[#This Row],[wire_echo]]/10))+(10^(Masks[[#This Row],[connector_echo]]/10)))</f>
        <v>-8.9116447206539462</v>
      </c>
      <c r="P165" s="65"/>
      <c r="Q165" s="65"/>
    </row>
    <row r="166" spans="1:17" x14ac:dyDescent="0.25">
      <c r="A166" s="2">
        <v>-148.47032539791456</v>
      </c>
      <c r="B166" s="2">
        <v>-148.47032539791456</v>
      </c>
      <c r="D166">
        <f>Calculate[[#This Row],[Freq]]</f>
        <v>7425000000</v>
      </c>
      <c r="E166" s="2">
        <f>MIN(-90, -89-Masks[[#This Row],[f]]/(600000000*S_ch_us),-82-Masks[[#This Row],[f]]/(250000000*S_ch_us))-K_ch_UPSD_us</f>
        <v>-97.929400086720378</v>
      </c>
      <c r="F166" s="2">
        <f>MIN(-90, -89-Masks[[#This Row],[f]]/(600000000*S_ch_ds),-82-Masks[[#This Row],[f]]/(250000000*S_ch_ds))-K_ch_UPSD_ds</f>
        <v>-97.929400086720378</v>
      </c>
      <c r="G166">
        <f>-MAX(MIN(20,20-10*LOG10(2*Masks[[#This Row],[f]]/480000000)),12-3)</f>
        <v>-9</v>
      </c>
      <c r="H166">
        <f>-MAX(MIN(20,20-10*LOG10(2*Masks[[#This Row],[f]]/480000000)),12-3)</f>
        <v>-9</v>
      </c>
      <c r="I166">
        <f>10*LOG10(POWER(10,Tx_power_us/10)/F_Nyquist_us)+IF(Masks[[#This Row],[f]]&gt;F_Nyquist_us,-50)</f>
        <v>-148.47032539791456</v>
      </c>
      <c r="J166" s="3">
        <f>10*LOG10(POWER(10,Tx_power_ds/10)/F_Nyquist_ds)+IF(Masks[[#This Row],[f]]&gt;F_Nyquist_ds,-50)</f>
        <v>-148.47032539791456</v>
      </c>
      <c r="K166" s="3">
        <f>IF(Masks[[#This Row],[f]]&gt;F_Nyquist_us,0,1)</f>
        <v>0</v>
      </c>
      <c r="L166" s="3">
        <f>IF(Masks[[#This Row],[f]]&gt;F_Nyquist_ds,0,1)</f>
        <v>0</v>
      </c>
      <c r="M166" s="3">
        <f>Config!B$7</f>
        <v>-40</v>
      </c>
      <c r="N166" s="3">
        <f>IF(Config!B$8&gt;0,10*LOG10($T$1*Masks[[#This Row],[f]]+Config!B$8*0.00073),-1000)</f>
        <v>-8.8892240338493043</v>
      </c>
      <c r="O166" s="3">
        <f>10*LOG10((10^(Masks[[#This Row],[wire_echo]]/10))+(10^(Masks[[#This Row],[connector_echo]]/10)))</f>
        <v>-8.8858624911921922</v>
      </c>
      <c r="P166" s="65"/>
      <c r="Q166" s="65"/>
    </row>
    <row r="167" spans="1:17" x14ac:dyDescent="0.25">
      <c r="A167" s="2">
        <v>-148.47032539791456</v>
      </c>
      <c r="B167" s="2">
        <v>-148.47032539791456</v>
      </c>
      <c r="D167">
        <f>Calculate[[#This Row],[Freq]]</f>
        <v>7470000000</v>
      </c>
      <c r="E167" s="2">
        <f>MIN(-90, -89-Masks[[#This Row],[f]]/(600000000*S_ch_us),-82-Masks[[#This Row],[f]]/(250000000*S_ch_us))-K_ch_UPSD_us</f>
        <v>-97.959400086720379</v>
      </c>
      <c r="F167" s="2">
        <f>MIN(-90, -89-Masks[[#This Row],[f]]/(600000000*S_ch_ds),-82-Masks[[#This Row],[f]]/(250000000*S_ch_ds))-K_ch_UPSD_ds</f>
        <v>-97.959400086720379</v>
      </c>
      <c r="G167">
        <f>-MAX(MIN(20,20-10*LOG10(2*Masks[[#This Row],[f]]/480000000)),12-3)</f>
        <v>-9</v>
      </c>
      <c r="H167">
        <f>-MAX(MIN(20,20-10*LOG10(2*Masks[[#This Row],[f]]/480000000)),12-3)</f>
        <v>-9</v>
      </c>
      <c r="I167">
        <f>10*LOG10(POWER(10,Tx_power_us/10)/F_Nyquist_us)+IF(Masks[[#This Row],[f]]&gt;F_Nyquist_us,-50)</f>
        <v>-148.47032539791456</v>
      </c>
      <c r="J167" s="3">
        <f>10*LOG10(POWER(10,Tx_power_ds/10)/F_Nyquist_ds)+IF(Masks[[#This Row],[f]]&gt;F_Nyquist_ds,-50)</f>
        <v>-148.47032539791456</v>
      </c>
      <c r="K167" s="3">
        <f>IF(Masks[[#This Row],[f]]&gt;F_Nyquist_us,0,1)</f>
        <v>0</v>
      </c>
      <c r="L167" s="3">
        <f>IF(Masks[[#This Row],[f]]&gt;F_Nyquist_ds,0,1)</f>
        <v>0</v>
      </c>
      <c r="M167" s="3">
        <f>Config!B$7</f>
        <v>-40</v>
      </c>
      <c r="N167" s="3">
        <f>IF(Config!B$8&gt;0,10*LOG10($T$1*Masks[[#This Row],[f]]+Config!B$8*0.00073),-1000)</f>
        <v>-8.8635741722826005</v>
      </c>
      <c r="O167" s="3">
        <f>10*LOG10((10^(Masks[[#This Row],[wire_echo]]/10))+(10^(Masks[[#This Row],[connector_echo]]/10)))</f>
        <v>-8.8602324171015354</v>
      </c>
      <c r="P167" s="65"/>
      <c r="Q167" s="65"/>
    </row>
    <row r="168" spans="1:17" x14ac:dyDescent="0.25">
      <c r="A168" s="2">
        <v>-148.47032539791456</v>
      </c>
      <c r="B168" s="2">
        <v>-148.47032539791456</v>
      </c>
      <c r="D168">
        <f>Calculate[[#This Row],[Freq]]</f>
        <v>7515000000</v>
      </c>
      <c r="E168" s="2">
        <f>MIN(-90, -89-Masks[[#This Row],[f]]/(600000000*S_ch_us),-82-Masks[[#This Row],[f]]/(250000000*S_ch_us))-K_ch_UPSD_us</f>
        <v>-98.003400086720376</v>
      </c>
      <c r="F168" s="2">
        <f>MIN(-90, -89-Masks[[#This Row],[f]]/(600000000*S_ch_ds),-82-Masks[[#This Row],[f]]/(250000000*S_ch_ds))-K_ch_UPSD_ds</f>
        <v>-98.003400086720376</v>
      </c>
      <c r="G168">
        <f>-MAX(MIN(20,20-10*LOG10(2*Masks[[#This Row],[f]]/480000000)),12-3)</f>
        <v>-9</v>
      </c>
      <c r="H168">
        <f>-MAX(MIN(20,20-10*LOG10(2*Masks[[#This Row],[f]]/480000000)),12-3)</f>
        <v>-9</v>
      </c>
      <c r="I168">
        <f>10*LOG10(POWER(10,Tx_power_us/10)/F_Nyquist_us)+IF(Masks[[#This Row],[f]]&gt;F_Nyquist_us,-50)</f>
        <v>-148.47032539791456</v>
      </c>
      <c r="J168" s="3">
        <f>10*LOG10(POWER(10,Tx_power_ds/10)/F_Nyquist_ds)+IF(Masks[[#This Row],[f]]&gt;F_Nyquist_ds,-50)</f>
        <v>-148.47032539791456</v>
      </c>
      <c r="K168" s="3">
        <f>IF(Masks[[#This Row],[f]]&gt;F_Nyquist_us,0,1)</f>
        <v>0</v>
      </c>
      <c r="L168" s="3">
        <f>IF(Masks[[#This Row],[f]]&gt;F_Nyquist_ds,0,1)</f>
        <v>0</v>
      </c>
      <c r="M168" s="3">
        <f>Config!B$7</f>
        <v>-40</v>
      </c>
      <c r="N168" s="3">
        <f>IF(Config!B$8&gt;0,10*LOG10($T$1*Masks[[#This Row],[f]]+Config!B$8*0.00073),-1000)</f>
        <v>-8.8380749123021172</v>
      </c>
      <c r="O168" s="3">
        <f>10*LOG10((10^(Masks[[#This Row],[wire_echo]]/10))+(10^(Masks[[#This Row],[connector_echo]]/10)))</f>
        <v>-8.8347527130052654</v>
      </c>
      <c r="P168" s="65"/>
      <c r="Q168" s="65"/>
    </row>
    <row r="169" spans="1:17" x14ac:dyDescent="0.25">
      <c r="A169" s="2">
        <v>-148.47032539791456</v>
      </c>
      <c r="B169" s="2">
        <v>-148.47032539791456</v>
      </c>
      <c r="D169">
        <f>Calculate[[#This Row],[Freq]]</f>
        <v>7560000000</v>
      </c>
      <c r="E169" s="2">
        <f>MIN(-90, -89-Masks[[#This Row],[f]]/(600000000*S_ch_us),-82-Masks[[#This Row],[f]]/(250000000*S_ch_us))-K_ch_UPSD_us</f>
        <v>-98.075400086720379</v>
      </c>
      <c r="F169" s="2">
        <f>MIN(-90, -89-Masks[[#This Row],[f]]/(600000000*S_ch_ds),-82-Masks[[#This Row],[f]]/(250000000*S_ch_ds))-K_ch_UPSD_ds</f>
        <v>-98.075400086720379</v>
      </c>
      <c r="G169">
        <f>-MAX(MIN(20,20-10*LOG10(2*Masks[[#This Row],[f]]/480000000)),12-3)</f>
        <v>-9</v>
      </c>
      <c r="H169">
        <f>-MAX(MIN(20,20-10*LOG10(2*Masks[[#This Row],[f]]/480000000)),12-3)</f>
        <v>-9</v>
      </c>
      <c r="I169">
        <f>10*LOG10(POWER(10,Tx_power_us/10)/F_Nyquist_us)+IF(Masks[[#This Row],[f]]&gt;F_Nyquist_us,-50)</f>
        <v>-148.47032539791456</v>
      </c>
      <c r="J169" s="3">
        <f>10*LOG10(POWER(10,Tx_power_ds/10)/F_Nyquist_ds)+IF(Masks[[#This Row],[f]]&gt;F_Nyquist_ds,-50)</f>
        <v>-148.47032539791456</v>
      </c>
      <c r="K169" s="3">
        <f>IF(Masks[[#This Row],[f]]&gt;F_Nyquist_us,0,1)</f>
        <v>0</v>
      </c>
      <c r="L169" s="3">
        <f>IF(Masks[[#This Row],[f]]&gt;F_Nyquist_ds,0,1)</f>
        <v>0</v>
      </c>
      <c r="M169" s="3">
        <f>Config!B$7</f>
        <v>-40</v>
      </c>
      <c r="N169" s="3">
        <f>IF(Config!B$8&gt;0,10*LOG10($T$1*Masks[[#This Row],[f]]+Config!B$8*0.00073),-1000)</f>
        <v>-8.8127244957299471</v>
      </c>
      <c r="O169" s="3">
        <f>10*LOG10((10^(Masks[[#This Row],[wire_echo]]/10))+(10^(Masks[[#This Row],[connector_echo]]/10)))</f>
        <v>-8.8094216247676265</v>
      </c>
      <c r="P169" s="65"/>
      <c r="Q169" s="65"/>
    </row>
    <row r="170" spans="1:17" x14ac:dyDescent="0.25">
      <c r="A170" s="2">
        <v>-148.47032539791456</v>
      </c>
      <c r="B170" s="2">
        <v>-148.47032539791456</v>
      </c>
      <c r="D170">
        <f>Calculate[[#This Row],[Freq]]</f>
        <v>7605000000</v>
      </c>
      <c r="E170" s="2">
        <f>MIN(-90, -89-Masks[[#This Row],[f]]/(600000000*S_ch_us),-82-Masks[[#This Row],[f]]/(250000000*S_ch_us))-K_ch_UPSD_us</f>
        <v>-98.147400086720381</v>
      </c>
      <c r="F170" s="2">
        <f>MIN(-90, -89-Masks[[#This Row],[f]]/(600000000*S_ch_ds),-82-Masks[[#This Row],[f]]/(250000000*S_ch_ds))-K_ch_UPSD_ds</f>
        <v>-98.147400086720381</v>
      </c>
      <c r="G170">
        <f>-MAX(MIN(20,20-10*LOG10(2*Masks[[#This Row],[f]]/480000000)),12-3)</f>
        <v>-9</v>
      </c>
      <c r="H170">
        <f>-MAX(MIN(20,20-10*LOG10(2*Masks[[#This Row],[f]]/480000000)),12-3)</f>
        <v>-9</v>
      </c>
      <c r="I170">
        <f>10*LOG10(POWER(10,Tx_power_us/10)/F_Nyquist_us)+IF(Masks[[#This Row],[f]]&gt;F_Nyquist_us,-50)</f>
        <v>-148.47032539791456</v>
      </c>
      <c r="J170" s="3">
        <f>10*LOG10(POWER(10,Tx_power_ds/10)/F_Nyquist_ds)+IF(Masks[[#This Row],[f]]&gt;F_Nyquist_ds,-50)</f>
        <v>-148.47032539791456</v>
      </c>
      <c r="K170" s="3">
        <f>IF(Masks[[#This Row],[f]]&gt;F_Nyquist_us,0,1)</f>
        <v>0</v>
      </c>
      <c r="L170" s="3">
        <f>IF(Masks[[#This Row],[f]]&gt;F_Nyquist_ds,0,1)</f>
        <v>0</v>
      </c>
      <c r="M170" s="3">
        <f>Config!B$7</f>
        <v>-40</v>
      </c>
      <c r="N170" s="3">
        <f>IF(Config!B$8&gt;0,10*LOG10($T$1*Masks[[#This Row],[f]]+Config!B$8*0.00073),-1000)</f>
        <v>-8.787521194998007</v>
      </c>
      <c r="O170" s="3">
        <f>10*LOG10((10^(Masks[[#This Row],[wire_echo]]/10))+(10^(Masks[[#This Row],[connector_echo]]/10)))</f>
        <v>-8.7842374287691758</v>
      </c>
      <c r="P170" s="65"/>
      <c r="Q170" s="65"/>
    </row>
    <row r="171" spans="1:17" x14ac:dyDescent="0.25">
      <c r="A171" s="2">
        <v>-148.47032539791456</v>
      </c>
      <c r="B171" s="2">
        <v>-148.47032539791456</v>
      </c>
      <c r="D171">
        <f>Calculate[[#This Row],[Freq]]</f>
        <v>7650000000</v>
      </c>
      <c r="E171" s="2">
        <f>MIN(-90, -89-Masks[[#This Row],[f]]/(600000000*S_ch_us),-82-Masks[[#This Row],[f]]/(250000000*S_ch_us))-K_ch_UPSD_us</f>
        <v>-98.21940008672037</v>
      </c>
      <c r="F171" s="2">
        <f>MIN(-90, -89-Masks[[#This Row],[f]]/(600000000*S_ch_ds),-82-Masks[[#This Row],[f]]/(250000000*S_ch_ds))-K_ch_UPSD_ds</f>
        <v>-98.21940008672037</v>
      </c>
      <c r="G171">
        <f>-MAX(MIN(20,20-10*LOG10(2*Masks[[#This Row],[f]]/480000000)),12-3)</f>
        <v>-9</v>
      </c>
      <c r="H171">
        <f>-MAX(MIN(20,20-10*LOG10(2*Masks[[#This Row],[f]]/480000000)),12-3)</f>
        <v>-9</v>
      </c>
      <c r="I171">
        <f>10*LOG10(POWER(10,Tx_power_us/10)/F_Nyquist_us)+IF(Masks[[#This Row],[f]]&gt;F_Nyquist_us,-50)</f>
        <v>-148.47032539791456</v>
      </c>
      <c r="J171" s="3">
        <f>10*LOG10(POWER(10,Tx_power_ds/10)/F_Nyquist_ds)+IF(Masks[[#This Row],[f]]&gt;F_Nyquist_ds,-50)</f>
        <v>-148.47032539791456</v>
      </c>
      <c r="K171" s="3">
        <f>IF(Masks[[#This Row],[f]]&gt;F_Nyquist_us,0,1)</f>
        <v>0</v>
      </c>
      <c r="L171" s="3">
        <f>IF(Masks[[#This Row],[f]]&gt;F_Nyquist_ds,0,1)</f>
        <v>0</v>
      </c>
      <c r="M171" s="3">
        <f>Config!B$7</f>
        <v>-40</v>
      </c>
      <c r="N171" s="3">
        <f>IF(Config!B$8&gt;0,10*LOG10($T$1*Masks[[#This Row],[f]]+Config!B$8*0.00073),-1000)</f>
        <v>-8.7624633124415876</v>
      </c>
      <c r="O171" s="3">
        <f>10*LOG10((10^(Masks[[#This Row],[wire_echo]]/10))+(10^(Masks[[#This Row],[connector_echo]]/10)))</f>
        <v>-8.7591984312030018</v>
      </c>
      <c r="P171" s="65"/>
      <c r="Q171" s="65"/>
    </row>
    <row r="172" spans="1:17" x14ac:dyDescent="0.25">
      <c r="A172" s="2">
        <v>-148.47032539791456</v>
      </c>
      <c r="B172" s="2">
        <v>-148.47032539791456</v>
      </c>
      <c r="D172">
        <f>Calculate[[#This Row],[Freq]]</f>
        <v>7695000000</v>
      </c>
      <c r="E172" s="2">
        <f>MIN(-90, -89-Masks[[#This Row],[f]]/(600000000*S_ch_us),-82-Masks[[#This Row],[f]]/(250000000*S_ch_us))-K_ch_UPSD_us</f>
        <v>-98.291400086720373</v>
      </c>
      <c r="F172" s="2">
        <f>MIN(-90, -89-Masks[[#This Row],[f]]/(600000000*S_ch_ds),-82-Masks[[#This Row],[f]]/(250000000*S_ch_ds))-K_ch_UPSD_ds</f>
        <v>-98.291400086720373</v>
      </c>
      <c r="G172">
        <f>-MAX(MIN(20,20-10*LOG10(2*Masks[[#This Row],[f]]/480000000)),12-3)</f>
        <v>-9</v>
      </c>
      <c r="H172">
        <f>-MAX(MIN(20,20-10*LOG10(2*Masks[[#This Row],[f]]/480000000)),12-3)</f>
        <v>-9</v>
      </c>
      <c r="I172">
        <f>10*LOG10(POWER(10,Tx_power_us/10)/F_Nyquist_us)+IF(Masks[[#This Row],[f]]&gt;F_Nyquist_us,-50)</f>
        <v>-148.47032539791456</v>
      </c>
      <c r="J172" s="3">
        <f>10*LOG10(POWER(10,Tx_power_ds/10)/F_Nyquist_ds)+IF(Masks[[#This Row],[f]]&gt;F_Nyquist_ds,-50)</f>
        <v>-148.47032539791456</v>
      </c>
      <c r="K172" s="3">
        <f>IF(Masks[[#This Row],[f]]&gt;F_Nyquist_us,0,1)</f>
        <v>0</v>
      </c>
      <c r="L172" s="3">
        <f>IF(Masks[[#This Row],[f]]&gt;F_Nyquist_ds,0,1)</f>
        <v>0</v>
      </c>
      <c r="M172" s="3">
        <f>Config!B$7</f>
        <v>-40</v>
      </c>
      <c r="N172" s="3">
        <f>IF(Config!B$8&gt;0,10*LOG10($T$1*Masks[[#This Row],[f]]+Config!B$8*0.00073),-1000)</f>
        <v>-8.7375491796131559</v>
      </c>
      <c r="O172" s="3">
        <f>10*LOG10((10^(Masks[[#This Row],[wire_echo]]/10))+(10^(Masks[[#This Row],[connector_echo]]/10)))</f>
        <v>-8.7343029673911321</v>
      </c>
      <c r="P172" s="65"/>
      <c r="Q172" s="65"/>
    </row>
    <row r="173" spans="1:17" x14ac:dyDescent="0.25">
      <c r="A173" s="2">
        <v>-148.47032539791456</v>
      </c>
      <c r="B173" s="2">
        <v>-148.47032539791456</v>
      </c>
      <c r="D173">
        <f>Calculate[[#This Row],[Freq]]</f>
        <v>7740000000</v>
      </c>
      <c r="E173" s="2">
        <f>MIN(-90, -89-Masks[[#This Row],[f]]/(600000000*S_ch_us),-82-Masks[[#This Row],[f]]/(250000000*S_ch_us))-K_ch_UPSD_us</f>
        <v>-98.363400086720375</v>
      </c>
      <c r="F173" s="2">
        <f>MIN(-90, -89-Masks[[#This Row],[f]]/(600000000*S_ch_ds),-82-Masks[[#This Row],[f]]/(250000000*S_ch_ds))-K_ch_UPSD_ds</f>
        <v>-98.363400086720375</v>
      </c>
      <c r="G173">
        <f>-MAX(MIN(20,20-10*LOG10(2*Masks[[#This Row],[f]]/480000000)),12-3)</f>
        <v>-9</v>
      </c>
      <c r="H173">
        <f>-MAX(MIN(20,20-10*LOG10(2*Masks[[#This Row],[f]]/480000000)),12-3)</f>
        <v>-9</v>
      </c>
      <c r="I173">
        <f>10*LOG10(POWER(10,Tx_power_us/10)/F_Nyquist_us)+IF(Masks[[#This Row],[f]]&gt;F_Nyquist_us,-50)</f>
        <v>-148.47032539791456</v>
      </c>
      <c r="J173" s="3">
        <f>10*LOG10(POWER(10,Tx_power_ds/10)/F_Nyquist_ds)+IF(Masks[[#This Row],[f]]&gt;F_Nyquist_ds,-50)</f>
        <v>-148.47032539791456</v>
      </c>
      <c r="K173" s="3">
        <f>IF(Masks[[#This Row],[f]]&gt;F_Nyquist_us,0,1)</f>
        <v>0</v>
      </c>
      <c r="L173" s="3">
        <f>IF(Masks[[#This Row],[f]]&gt;F_Nyquist_ds,0,1)</f>
        <v>0</v>
      </c>
      <c r="M173" s="3">
        <f>Config!B$7</f>
        <v>-40</v>
      </c>
      <c r="N173" s="3">
        <f>IF(Config!B$8&gt;0,10*LOG10($T$1*Masks[[#This Row],[f]]+Config!B$8*0.00073),-1000)</f>
        <v>-8.7127771566157328</v>
      </c>
      <c r="O173" s="3">
        <f>10*LOG10((10^(Masks[[#This Row],[wire_echo]]/10))+(10^(Masks[[#This Row],[connector_echo]]/10)))</f>
        <v>-8.7095494011204213</v>
      </c>
      <c r="P173" s="65"/>
      <c r="Q173" s="65"/>
    </row>
    <row r="174" spans="1:17" x14ac:dyDescent="0.25">
      <c r="A174" s="2">
        <v>-148.47032539791456</v>
      </c>
      <c r="B174" s="2">
        <v>-148.47032539791456</v>
      </c>
      <c r="D174">
        <f>Calculate[[#This Row],[Freq]]</f>
        <v>7785000000</v>
      </c>
      <c r="E174" s="2">
        <f>MIN(-90, -89-Masks[[#This Row],[f]]/(600000000*S_ch_us),-82-Masks[[#This Row],[f]]/(250000000*S_ch_us))-K_ch_UPSD_us</f>
        <v>-98.435400086720378</v>
      </c>
      <c r="F174" s="2">
        <f>MIN(-90, -89-Masks[[#This Row],[f]]/(600000000*S_ch_ds),-82-Masks[[#This Row],[f]]/(250000000*S_ch_ds))-K_ch_UPSD_ds</f>
        <v>-98.435400086720378</v>
      </c>
      <c r="G174">
        <f>-MAX(MIN(20,20-10*LOG10(2*Masks[[#This Row],[f]]/480000000)),12-3)</f>
        <v>-9</v>
      </c>
      <c r="H174">
        <f>-MAX(MIN(20,20-10*LOG10(2*Masks[[#This Row],[f]]/480000000)),12-3)</f>
        <v>-9</v>
      </c>
      <c r="I174">
        <f>10*LOG10(POWER(10,Tx_power_us/10)/F_Nyquist_us)+IF(Masks[[#This Row],[f]]&gt;F_Nyquist_us,-50)</f>
        <v>-148.47032539791456</v>
      </c>
      <c r="J174" s="3">
        <f>10*LOG10(POWER(10,Tx_power_ds/10)/F_Nyquist_ds)+IF(Masks[[#This Row],[f]]&gt;F_Nyquist_ds,-50)</f>
        <v>-148.47032539791456</v>
      </c>
      <c r="K174" s="3">
        <f>IF(Masks[[#This Row],[f]]&gt;F_Nyquist_us,0,1)</f>
        <v>0</v>
      </c>
      <c r="L174" s="3">
        <f>IF(Masks[[#This Row],[f]]&gt;F_Nyquist_ds,0,1)</f>
        <v>0</v>
      </c>
      <c r="M174" s="3">
        <f>Config!B$7</f>
        <v>-40</v>
      </c>
      <c r="N174" s="3">
        <f>IF(Config!B$8&gt;0,10*LOG10($T$1*Masks[[#This Row],[f]]+Config!B$8*0.00073),-1000)</f>
        <v>-8.6881456314551748</v>
      </c>
      <c r="O174" s="3">
        <f>10*LOG10((10^(Masks[[#This Row],[wire_echo]]/10))+(10^(Masks[[#This Row],[connector_echo]]/10)))</f>
        <v>-8.6849361239972538</v>
      </c>
      <c r="P174" s="65"/>
      <c r="Q174" s="65"/>
    </row>
    <row r="175" spans="1:17" x14ac:dyDescent="0.25">
      <c r="A175" s="2">
        <v>-148.47032539791456</v>
      </c>
      <c r="B175" s="2">
        <v>-148.47032539791456</v>
      </c>
      <c r="D175">
        <f>Calculate[[#This Row],[Freq]]</f>
        <v>7830000000</v>
      </c>
      <c r="E175" s="2">
        <f>MIN(-90, -89-Masks[[#This Row],[f]]/(600000000*S_ch_us),-82-Masks[[#This Row],[f]]/(250000000*S_ch_us))-K_ch_UPSD_us</f>
        <v>-98.507400086720381</v>
      </c>
      <c r="F175" s="2">
        <f>MIN(-90, -89-Masks[[#This Row],[f]]/(600000000*S_ch_ds),-82-Masks[[#This Row],[f]]/(250000000*S_ch_ds))-K_ch_UPSD_ds</f>
        <v>-98.507400086720381</v>
      </c>
      <c r="G175">
        <f>-MAX(MIN(20,20-10*LOG10(2*Masks[[#This Row],[f]]/480000000)),12-3)</f>
        <v>-9</v>
      </c>
      <c r="H175">
        <f>-MAX(MIN(20,20-10*LOG10(2*Masks[[#This Row],[f]]/480000000)),12-3)</f>
        <v>-9</v>
      </c>
      <c r="I175">
        <f>10*LOG10(POWER(10,Tx_power_us/10)/F_Nyquist_us)+IF(Masks[[#This Row],[f]]&gt;F_Nyquist_us,-50)</f>
        <v>-148.47032539791456</v>
      </c>
      <c r="J175" s="3">
        <f>10*LOG10(POWER(10,Tx_power_ds/10)/F_Nyquist_ds)+IF(Masks[[#This Row],[f]]&gt;F_Nyquist_ds,-50)</f>
        <v>-148.47032539791456</v>
      </c>
      <c r="K175" s="3">
        <f>IF(Masks[[#This Row],[f]]&gt;F_Nyquist_us,0,1)</f>
        <v>0</v>
      </c>
      <c r="L175" s="3">
        <f>IF(Masks[[#This Row],[f]]&gt;F_Nyquist_ds,0,1)</f>
        <v>0</v>
      </c>
      <c r="M175" s="3">
        <f>Config!B$7</f>
        <v>-40</v>
      </c>
      <c r="N175" s="3">
        <f>IF(Config!B$8&gt;0,10*LOG10($T$1*Masks[[#This Row],[f]]+Config!B$8*0.00073),-1000)</f>
        <v>-8.6636530194107237</v>
      </c>
      <c r="O175" s="3">
        <f>10*LOG10((10^(Masks[[#This Row],[wire_echo]]/10))+(10^(Masks[[#This Row],[connector_echo]]/10)))</f>
        <v>-8.6604615548204311</v>
      </c>
      <c r="P175" s="65"/>
      <c r="Q175" s="65"/>
    </row>
    <row r="176" spans="1:17" x14ac:dyDescent="0.25">
      <c r="A176" s="2">
        <v>-148.47032539791456</v>
      </c>
      <c r="B176" s="2">
        <v>-148.47032539791456</v>
      </c>
      <c r="D176">
        <f>Calculate[[#This Row],[Freq]]</f>
        <v>7875000000</v>
      </c>
      <c r="E176" s="2">
        <f>MIN(-90, -89-Masks[[#This Row],[f]]/(600000000*S_ch_us),-82-Masks[[#This Row],[f]]/(250000000*S_ch_us))-K_ch_UPSD_us</f>
        <v>-98.579400086720369</v>
      </c>
      <c r="F176" s="2">
        <f>MIN(-90, -89-Masks[[#This Row],[f]]/(600000000*S_ch_ds),-82-Masks[[#This Row],[f]]/(250000000*S_ch_ds))-K_ch_UPSD_ds</f>
        <v>-98.579400086720369</v>
      </c>
      <c r="G176">
        <f>-MAX(MIN(20,20-10*LOG10(2*Masks[[#This Row],[f]]/480000000)),12-3)</f>
        <v>-9</v>
      </c>
      <c r="H176">
        <f>-MAX(MIN(20,20-10*LOG10(2*Masks[[#This Row],[f]]/480000000)),12-3)</f>
        <v>-9</v>
      </c>
      <c r="I176">
        <f>10*LOG10(POWER(10,Tx_power_us/10)/F_Nyquist_us)+IF(Masks[[#This Row],[f]]&gt;F_Nyquist_us,-50)</f>
        <v>-148.47032539791456</v>
      </c>
      <c r="J176" s="3">
        <f>10*LOG10(POWER(10,Tx_power_ds/10)/F_Nyquist_ds)+IF(Masks[[#This Row],[f]]&gt;F_Nyquist_ds,-50)</f>
        <v>-148.47032539791456</v>
      </c>
      <c r="K176" s="3">
        <f>IF(Masks[[#This Row],[f]]&gt;F_Nyquist_us,0,1)</f>
        <v>0</v>
      </c>
      <c r="L176" s="3">
        <f>IF(Masks[[#This Row],[f]]&gt;F_Nyquist_ds,0,1)</f>
        <v>0</v>
      </c>
      <c r="M176" s="3">
        <f>Config!B$7</f>
        <v>-40</v>
      </c>
      <c r="N176" s="3">
        <f>IF(Config!B$8&gt;0,10*LOG10($T$1*Masks[[#This Row],[f]]+Config!B$8*0.00073),-1000)</f>
        <v>-8.6392977624231939</v>
      </c>
      <c r="O176" s="3">
        <f>10*LOG10((10^(Masks[[#This Row],[wire_echo]]/10))+(10^(Masks[[#This Row],[connector_echo]]/10)))</f>
        <v>-8.6361241389716294</v>
      </c>
      <c r="P176" s="65"/>
      <c r="Q176" s="65"/>
    </row>
    <row r="177" spans="1:17" x14ac:dyDescent="0.25">
      <c r="A177" s="2">
        <v>-148.47032539791456</v>
      </c>
      <c r="B177" s="2">
        <v>-148.47032539791456</v>
      </c>
      <c r="D177">
        <f>Calculate[[#This Row],[Freq]]</f>
        <v>7920000000</v>
      </c>
      <c r="E177" s="2">
        <f>MIN(-90, -89-Masks[[#This Row],[f]]/(600000000*S_ch_us),-82-Masks[[#This Row],[f]]/(250000000*S_ch_us))-K_ch_UPSD_us</f>
        <v>-98.651400086720372</v>
      </c>
      <c r="F177" s="2">
        <f>MIN(-90, -89-Masks[[#This Row],[f]]/(600000000*S_ch_ds),-82-Masks[[#This Row],[f]]/(250000000*S_ch_ds))-K_ch_UPSD_ds</f>
        <v>-98.651400086720372</v>
      </c>
      <c r="G177">
        <f>-MAX(MIN(20,20-10*LOG10(2*Masks[[#This Row],[f]]/480000000)),12-3)</f>
        <v>-9</v>
      </c>
      <c r="H177">
        <f>-MAX(MIN(20,20-10*LOG10(2*Masks[[#This Row],[f]]/480000000)),12-3)</f>
        <v>-9</v>
      </c>
      <c r="I177">
        <f>10*LOG10(POWER(10,Tx_power_us/10)/F_Nyquist_us)+IF(Masks[[#This Row],[f]]&gt;F_Nyquist_us,-50)</f>
        <v>-148.47032539791456</v>
      </c>
      <c r="J177" s="3">
        <f>10*LOG10(POWER(10,Tx_power_ds/10)/F_Nyquist_ds)+IF(Masks[[#This Row],[f]]&gt;F_Nyquist_ds,-50)</f>
        <v>-148.47032539791456</v>
      </c>
      <c r="K177" s="3">
        <f>IF(Masks[[#This Row],[f]]&gt;F_Nyquist_us,0,1)</f>
        <v>0</v>
      </c>
      <c r="L177" s="3">
        <f>IF(Masks[[#This Row],[f]]&gt;F_Nyquist_ds,0,1)</f>
        <v>0</v>
      </c>
      <c r="M177" s="3">
        <f>Config!B$7</f>
        <v>-40</v>
      </c>
      <c r="N177" s="3">
        <f>IF(Config!B$8&gt;0,10*LOG10($T$1*Masks[[#This Row],[f]]+Config!B$8*0.00073),-1000)</f>
        <v>-8.6150783285002426</v>
      </c>
      <c r="O177" s="3">
        <f>10*LOG10((10^(Masks[[#This Row],[wire_echo]]/10))+(10^(Masks[[#This Row],[connector_echo]]/10)))</f>
        <v>-8.6119223478228584</v>
      </c>
      <c r="P177" s="65"/>
      <c r="Q177" s="65"/>
    </row>
    <row r="178" spans="1:17" x14ac:dyDescent="0.25">
      <c r="A178" s="2">
        <v>-148.47032539791456</v>
      </c>
      <c r="B178" s="2">
        <v>-148.47032539791456</v>
      </c>
      <c r="D178">
        <f>Calculate[[#This Row],[Freq]]</f>
        <v>7965000000</v>
      </c>
      <c r="E178" s="2">
        <f>MIN(-90, -89-Masks[[#This Row],[f]]/(600000000*S_ch_us),-82-Masks[[#This Row],[f]]/(250000000*S_ch_us))-K_ch_UPSD_us</f>
        <v>-98.723400086720375</v>
      </c>
      <c r="F178" s="2">
        <f>MIN(-90, -89-Masks[[#This Row],[f]]/(600000000*S_ch_ds),-82-Masks[[#This Row],[f]]/(250000000*S_ch_ds))-K_ch_UPSD_ds</f>
        <v>-98.723400086720375</v>
      </c>
      <c r="G178">
        <f>-MAX(MIN(20,20-10*LOG10(2*Masks[[#This Row],[f]]/480000000)),12-3)</f>
        <v>-9</v>
      </c>
      <c r="H178">
        <f>-MAX(MIN(20,20-10*LOG10(2*Masks[[#This Row],[f]]/480000000)),12-3)</f>
        <v>-9</v>
      </c>
      <c r="I178">
        <f>10*LOG10(POWER(10,Tx_power_us/10)/F_Nyquist_us)+IF(Masks[[#This Row],[f]]&gt;F_Nyquist_us,-50)</f>
        <v>-148.47032539791456</v>
      </c>
      <c r="J178" s="3">
        <f>10*LOG10(POWER(10,Tx_power_ds/10)/F_Nyquist_ds)+IF(Masks[[#This Row],[f]]&gt;F_Nyquist_ds,-50)</f>
        <v>-148.47032539791456</v>
      </c>
      <c r="K178" s="3">
        <f>IF(Masks[[#This Row],[f]]&gt;F_Nyquist_us,0,1)</f>
        <v>0</v>
      </c>
      <c r="L178" s="3">
        <f>IF(Masks[[#This Row],[f]]&gt;F_Nyquist_ds,0,1)</f>
        <v>0</v>
      </c>
      <c r="M178" s="3">
        <f>Config!B$7</f>
        <v>-40</v>
      </c>
      <c r="N178" s="3">
        <f>IF(Config!B$8&gt;0,10*LOG10($T$1*Masks[[#This Row],[f]]+Config!B$8*0.00073),-1000)</f>
        <v>-8.5909932111381</v>
      </c>
      <c r="O178" s="3">
        <f>10*LOG10((10^(Masks[[#This Row],[wire_echo]]/10))+(10^(Masks[[#This Row],[connector_echo]]/10)))</f>
        <v>-8.5878546781602907</v>
      </c>
      <c r="P178" s="65"/>
      <c r="Q178" s="65"/>
    </row>
    <row r="179" spans="1:17" x14ac:dyDescent="0.25">
      <c r="A179" s="2">
        <v>-148.47032539791456</v>
      </c>
      <c r="B179" s="2">
        <v>-148.47032539791456</v>
      </c>
      <c r="D179">
        <f>Calculate[[#This Row],[Freq]]</f>
        <v>8010000000</v>
      </c>
      <c r="E179" s="2">
        <f>MIN(-90, -89-Masks[[#This Row],[f]]/(600000000*S_ch_us),-82-Masks[[#This Row],[f]]/(250000000*S_ch_us))-K_ch_UPSD_us</f>
        <v>-98.795400086720377</v>
      </c>
      <c r="F179" s="2">
        <f>MIN(-90, -89-Masks[[#This Row],[f]]/(600000000*S_ch_ds),-82-Masks[[#This Row],[f]]/(250000000*S_ch_ds))-K_ch_UPSD_ds</f>
        <v>-98.795400086720377</v>
      </c>
      <c r="G179">
        <f>-MAX(MIN(20,20-10*LOG10(2*Masks[[#This Row],[f]]/480000000)),12-3)</f>
        <v>-9</v>
      </c>
      <c r="H179">
        <f>-MAX(MIN(20,20-10*LOG10(2*Masks[[#This Row],[f]]/480000000)),12-3)</f>
        <v>-9</v>
      </c>
      <c r="I179">
        <f>10*LOG10(POWER(10,Tx_power_us/10)/F_Nyquist_us)+IF(Masks[[#This Row],[f]]&gt;F_Nyquist_us,-50)</f>
        <v>-148.47032539791456</v>
      </c>
      <c r="J179" s="3">
        <f>10*LOG10(POWER(10,Tx_power_ds/10)/F_Nyquist_ds)+IF(Masks[[#This Row],[f]]&gt;F_Nyquist_ds,-50)</f>
        <v>-148.47032539791456</v>
      </c>
      <c r="K179" s="3">
        <f>IF(Masks[[#This Row],[f]]&gt;F_Nyquist_us,0,1)</f>
        <v>0</v>
      </c>
      <c r="L179" s="3">
        <f>IF(Masks[[#This Row],[f]]&gt;F_Nyquist_ds,0,1)</f>
        <v>0</v>
      </c>
      <c r="M179" s="3">
        <f>Config!B$7</f>
        <v>-40</v>
      </c>
      <c r="N179" s="3">
        <f>IF(Config!B$8&gt;0,10*LOG10($T$1*Masks[[#This Row],[f]]+Config!B$8*0.00073),-1000)</f>
        <v>-8.5670409287592815</v>
      </c>
      <c r="O179" s="3">
        <f>10*LOG10((10^(Masks[[#This Row],[wire_echo]]/10))+(10^(Masks[[#This Row],[connector_echo]]/10)))</f>
        <v>-8.5639196516240439</v>
      </c>
      <c r="P179" s="65"/>
      <c r="Q179" s="65"/>
    </row>
    <row r="180" spans="1:17" x14ac:dyDescent="0.25">
      <c r="A180" s="2">
        <v>-148.47032539791456</v>
      </c>
      <c r="B180" s="2">
        <v>-148.47032539791456</v>
      </c>
      <c r="D180">
        <f>Calculate[[#This Row],[Freq]]</f>
        <v>8055000000</v>
      </c>
      <c r="E180" s="2">
        <f>MIN(-90, -89-Masks[[#This Row],[f]]/(600000000*S_ch_us),-82-Masks[[#This Row],[f]]/(250000000*S_ch_us))-K_ch_UPSD_us</f>
        <v>-98.86740008672038</v>
      </c>
      <c r="F180" s="2">
        <f>MIN(-90, -89-Masks[[#This Row],[f]]/(600000000*S_ch_ds),-82-Masks[[#This Row],[f]]/(250000000*S_ch_ds))-K_ch_UPSD_ds</f>
        <v>-98.86740008672038</v>
      </c>
      <c r="G180">
        <f>-MAX(MIN(20,20-10*LOG10(2*Masks[[#This Row],[f]]/480000000)),12-3)</f>
        <v>-9</v>
      </c>
      <c r="H180">
        <f>-MAX(MIN(20,20-10*LOG10(2*Masks[[#This Row],[f]]/480000000)),12-3)</f>
        <v>-9</v>
      </c>
      <c r="I180">
        <f>10*LOG10(POWER(10,Tx_power_us/10)/F_Nyquist_us)+IF(Masks[[#This Row],[f]]&gt;F_Nyquist_us,-50)</f>
        <v>-148.47032539791456</v>
      </c>
      <c r="J180" s="3">
        <f>10*LOG10(POWER(10,Tx_power_ds/10)/F_Nyquist_ds)+IF(Masks[[#This Row],[f]]&gt;F_Nyquist_ds,-50)</f>
        <v>-148.47032539791456</v>
      </c>
      <c r="K180" s="3">
        <f>IF(Masks[[#This Row],[f]]&gt;F_Nyquist_us,0,1)</f>
        <v>0</v>
      </c>
      <c r="L180" s="3">
        <f>IF(Masks[[#This Row],[f]]&gt;F_Nyquist_ds,0,1)</f>
        <v>0</v>
      </c>
      <c r="M180" s="3">
        <f>Config!B$7</f>
        <v>-40</v>
      </c>
      <c r="N180" s="3">
        <f>IF(Config!B$8&gt;0,10*LOG10($T$1*Masks[[#This Row],[f]]+Config!B$8*0.00073),-1000)</f>
        <v>-8.5432200241656862</v>
      </c>
      <c r="O180" s="3">
        <f>10*LOG10((10^(Masks[[#This Row],[wire_echo]]/10))+(10^(Masks[[#This Row],[connector_echo]]/10)))</f>
        <v>-8.540115814163233</v>
      </c>
      <c r="P180" s="65"/>
      <c r="Q180" s="65"/>
    </row>
    <row r="181" spans="1:17" x14ac:dyDescent="0.25">
      <c r="A181" s="2">
        <v>-148.47032539791456</v>
      </c>
      <c r="B181" s="2">
        <v>-148.47032539791456</v>
      </c>
      <c r="D181">
        <f>Calculate[[#This Row],[Freq]]</f>
        <v>8100000000</v>
      </c>
      <c r="E181" s="2">
        <f>MIN(-90, -89-Masks[[#This Row],[f]]/(600000000*S_ch_us),-82-Masks[[#This Row],[f]]/(250000000*S_ch_us))-K_ch_UPSD_us</f>
        <v>-98.939400086720383</v>
      </c>
      <c r="F181" s="2">
        <f>MIN(-90, -89-Masks[[#This Row],[f]]/(600000000*S_ch_ds),-82-Masks[[#This Row],[f]]/(250000000*S_ch_ds))-K_ch_UPSD_ds</f>
        <v>-98.939400086720383</v>
      </c>
      <c r="G181">
        <f>-MAX(MIN(20,20-10*LOG10(2*Masks[[#This Row],[f]]/480000000)),12-3)</f>
        <v>-9</v>
      </c>
      <c r="H181">
        <f>-MAX(MIN(20,20-10*LOG10(2*Masks[[#This Row],[f]]/480000000)),12-3)</f>
        <v>-9</v>
      </c>
      <c r="I181">
        <f>10*LOG10(POWER(10,Tx_power_us/10)/F_Nyquist_us)+IF(Masks[[#This Row],[f]]&gt;F_Nyquist_us,-50)</f>
        <v>-148.47032539791456</v>
      </c>
      <c r="J181" s="3">
        <f>10*LOG10(POWER(10,Tx_power_ds/10)/F_Nyquist_ds)+IF(Masks[[#This Row],[f]]&gt;F_Nyquist_ds,-50)</f>
        <v>-148.47032539791456</v>
      </c>
      <c r="K181" s="3">
        <f>IF(Masks[[#This Row],[f]]&gt;F_Nyquist_us,0,1)</f>
        <v>0</v>
      </c>
      <c r="L181" s="3">
        <f>IF(Masks[[#This Row],[f]]&gt;F_Nyquist_ds,0,1)</f>
        <v>0</v>
      </c>
      <c r="M181" s="3">
        <f>Config!B$7</f>
        <v>-40</v>
      </c>
      <c r="N181" s="3">
        <f>IF(Config!B$8&gt;0,10*LOG10($T$1*Masks[[#This Row],[f]]+Config!B$8*0.00073),-1000)</f>
        <v>-8.5195290640066457</v>
      </c>
      <c r="O181" s="3">
        <f>10*LOG10((10^(Masks[[#This Row],[wire_echo]]/10))+(10^(Masks[[#This Row],[connector_echo]]/10)))</f>
        <v>-8.5164417355059516</v>
      </c>
      <c r="P181" s="65"/>
      <c r="Q181" s="65"/>
    </row>
    <row r="182" spans="1:17" x14ac:dyDescent="0.25">
      <c r="A182" s="2">
        <v>-148.47032539791456</v>
      </c>
      <c r="B182" s="2">
        <v>-148.47032539791456</v>
      </c>
      <c r="D182">
        <f>Calculate[[#This Row],[Freq]]</f>
        <v>8145000000</v>
      </c>
      <c r="E182" s="2">
        <f>MIN(-90, -89-Masks[[#This Row],[f]]/(600000000*S_ch_us),-82-Masks[[#This Row],[f]]/(250000000*S_ch_us))-K_ch_UPSD_us</f>
        <v>-99.011400086720371</v>
      </c>
      <c r="F182" s="2">
        <f>MIN(-90, -89-Masks[[#This Row],[f]]/(600000000*S_ch_ds),-82-Masks[[#This Row],[f]]/(250000000*S_ch_ds))-K_ch_UPSD_ds</f>
        <v>-99.011400086720371</v>
      </c>
      <c r="G182">
        <f>-MAX(MIN(20,20-10*LOG10(2*Masks[[#This Row],[f]]/480000000)),12-3)</f>
        <v>-9</v>
      </c>
      <c r="H182">
        <f>-MAX(MIN(20,20-10*LOG10(2*Masks[[#This Row],[f]]/480000000)),12-3)</f>
        <v>-9</v>
      </c>
      <c r="I182">
        <f>10*LOG10(POWER(10,Tx_power_us/10)/F_Nyquist_us)+IF(Masks[[#This Row],[f]]&gt;F_Nyquist_us,-50)</f>
        <v>-148.47032539791456</v>
      </c>
      <c r="J182" s="3">
        <f>10*LOG10(POWER(10,Tx_power_ds/10)/F_Nyquist_ds)+IF(Masks[[#This Row],[f]]&gt;F_Nyquist_ds,-50)</f>
        <v>-148.47032539791456</v>
      </c>
      <c r="K182" s="3">
        <f>IF(Masks[[#This Row],[f]]&gt;F_Nyquist_us,0,1)</f>
        <v>0</v>
      </c>
      <c r="L182" s="3">
        <f>IF(Masks[[#This Row],[f]]&gt;F_Nyquist_ds,0,1)</f>
        <v>0</v>
      </c>
      <c r="M182" s="3">
        <f>Config!B$7</f>
        <v>-40</v>
      </c>
      <c r="N182" s="3">
        <f>IF(Config!B$8&gt;0,10*LOG10($T$1*Masks[[#This Row],[f]]+Config!B$8*0.00073),-1000)</f>
        <v>-8.4959666382613701</v>
      </c>
      <c r="O182" s="3">
        <f>10*LOG10((10^(Masks[[#This Row],[wire_echo]]/10))+(10^(Masks[[#This Row],[connector_echo]]/10)))</f>
        <v>-8.4928960086435588</v>
      </c>
      <c r="P182" s="65"/>
      <c r="Q182" s="65"/>
    </row>
    <row r="183" spans="1:17" x14ac:dyDescent="0.25">
      <c r="A183" s="2">
        <v>-148.47032539791456</v>
      </c>
      <c r="B183" s="2">
        <v>-148.47032539791456</v>
      </c>
      <c r="D183">
        <f>Calculate[[#This Row],[Freq]]</f>
        <v>8190000000</v>
      </c>
      <c r="E183" s="2">
        <f>MIN(-90, -89-Masks[[#This Row],[f]]/(600000000*S_ch_us),-82-Masks[[#This Row],[f]]/(250000000*S_ch_us))-K_ch_UPSD_us</f>
        <v>-99.083400086720374</v>
      </c>
      <c r="F183" s="2">
        <f>MIN(-90, -89-Masks[[#This Row],[f]]/(600000000*S_ch_ds),-82-Masks[[#This Row],[f]]/(250000000*S_ch_ds))-K_ch_UPSD_ds</f>
        <v>-99.083400086720374</v>
      </c>
      <c r="G183">
        <f>-MAX(MIN(20,20-10*LOG10(2*Masks[[#This Row],[f]]/480000000)),12-3)</f>
        <v>-9</v>
      </c>
      <c r="H183">
        <f>-MAX(MIN(20,20-10*LOG10(2*Masks[[#This Row],[f]]/480000000)),12-3)</f>
        <v>-9</v>
      </c>
      <c r="I183">
        <f>10*LOG10(POWER(10,Tx_power_us/10)/F_Nyquist_us)+IF(Masks[[#This Row],[f]]&gt;F_Nyquist_us,-50)</f>
        <v>-148.47032539791456</v>
      </c>
      <c r="J183" s="3">
        <f>10*LOG10(POWER(10,Tx_power_ds/10)/F_Nyquist_ds)+IF(Masks[[#This Row],[f]]&gt;F_Nyquist_ds,-50)</f>
        <v>-148.47032539791456</v>
      </c>
      <c r="K183" s="3">
        <f>IF(Masks[[#This Row],[f]]&gt;F_Nyquist_us,0,1)</f>
        <v>0</v>
      </c>
      <c r="L183" s="3">
        <f>IF(Masks[[#This Row],[f]]&gt;F_Nyquist_ds,0,1)</f>
        <v>0</v>
      </c>
      <c r="M183" s="3">
        <f>Config!B$7</f>
        <v>-40</v>
      </c>
      <c r="N183" s="3">
        <f>IF(Config!B$8&gt;0,10*LOG10($T$1*Masks[[#This Row],[f]]+Config!B$8*0.00073),-1000)</f>
        <v>-8.47253135973539</v>
      </c>
      <c r="O183" s="3">
        <f>10*LOG10((10^(Masks[[#This Row],[wire_echo]]/10))+(10^(Masks[[#This Row],[connector_echo]]/10)))</f>
        <v>-8.4694772493289125</v>
      </c>
      <c r="P183" s="65"/>
      <c r="Q183" s="65"/>
    </row>
    <row r="184" spans="1:17" x14ac:dyDescent="0.25">
      <c r="A184" s="2">
        <v>-148.47032539791456</v>
      </c>
      <c r="B184" s="2">
        <v>-148.47032539791456</v>
      </c>
      <c r="D184">
        <f>Calculate[[#This Row],[Freq]]</f>
        <v>8235000000</v>
      </c>
      <c r="E184" s="2">
        <f>MIN(-90, -89-Masks[[#This Row],[f]]/(600000000*S_ch_us),-82-Masks[[#This Row],[f]]/(250000000*S_ch_us))-K_ch_UPSD_us</f>
        <v>-99.155400086720377</v>
      </c>
      <c r="F184" s="2">
        <f>MIN(-90, -89-Masks[[#This Row],[f]]/(600000000*S_ch_ds),-82-Masks[[#This Row],[f]]/(250000000*S_ch_ds))-K_ch_UPSD_ds</f>
        <v>-99.155400086720377</v>
      </c>
      <c r="G184">
        <f>-MAX(MIN(20,20-10*LOG10(2*Masks[[#This Row],[f]]/480000000)),12-3)</f>
        <v>-9</v>
      </c>
      <c r="H184">
        <f>-MAX(MIN(20,20-10*LOG10(2*Masks[[#This Row],[f]]/480000000)),12-3)</f>
        <v>-9</v>
      </c>
      <c r="I184">
        <f>10*LOG10(POWER(10,Tx_power_us/10)/F_Nyquist_us)+IF(Masks[[#This Row],[f]]&gt;F_Nyquist_us,-50)</f>
        <v>-148.47032539791456</v>
      </c>
      <c r="J184" s="3">
        <f>10*LOG10(POWER(10,Tx_power_ds/10)/F_Nyquist_ds)+IF(Masks[[#This Row],[f]]&gt;F_Nyquist_ds,-50)</f>
        <v>-148.47032539791456</v>
      </c>
      <c r="K184" s="3">
        <f>IF(Masks[[#This Row],[f]]&gt;F_Nyquist_us,0,1)</f>
        <v>0</v>
      </c>
      <c r="L184" s="3">
        <f>IF(Masks[[#This Row],[f]]&gt;F_Nyquist_ds,0,1)</f>
        <v>0</v>
      </c>
      <c r="M184" s="3">
        <f>Config!B$7</f>
        <v>-40</v>
      </c>
      <c r="N184" s="3">
        <f>IF(Config!B$8&gt;0,10*LOG10($T$1*Masks[[#This Row],[f]]+Config!B$8*0.00073),-1000)</f>
        <v>-8.4492218635704823</v>
      </c>
      <c r="O184" s="3">
        <f>10*LOG10((10^(Masks[[#This Row],[wire_echo]]/10))+(10^(Masks[[#This Row],[connector_echo]]/10)))</f>
        <v>-8.4461840955880376</v>
      </c>
      <c r="P184" s="65"/>
      <c r="Q184" s="65"/>
    </row>
    <row r="185" spans="1:17" x14ac:dyDescent="0.25">
      <c r="A185" s="2">
        <v>-148.47032539791456</v>
      </c>
      <c r="B185" s="2">
        <v>-148.47032539791456</v>
      </c>
      <c r="D185">
        <f>Calculate[[#This Row],[Freq]]</f>
        <v>8280000000</v>
      </c>
      <c r="E185" s="2">
        <f>MIN(-90, -89-Masks[[#This Row],[f]]/(600000000*S_ch_us),-82-Masks[[#This Row],[f]]/(250000000*S_ch_us))-K_ch_UPSD_us</f>
        <v>-99.22740008672038</v>
      </c>
      <c r="F185" s="2">
        <f>MIN(-90, -89-Masks[[#This Row],[f]]/(600000000*S_ch_ds),-82-Masks[[#This Row],[f]]/(250000000*S_ch_ds))-K_ch_UPSD_ds</f>
        <v>-99.22740008672038</v>
      </c>
      <c r="G185">
        <f>-MAX(MIN(20,20-10*LOG10(2*Masks[[#This Row],[f]]/480000000)),12-3)</f>
        <v>-9</v>
      </c>
      <c r="H185">
        <f>-MAX(MIN(20,20-10*LOG10(2*Masks[[#This Row],[f]]/480000000)),12-3)</f>
        <v>-9</v>
      </c>
      <c r="I185">
        <f>10*LOG10(POWER(10,Tx_power_us/10)/F_Nyquist_us)+IF(Masks[[#This Row],[f]]&gt;F_Nyquist_us,-50)</f>
        <v>-148.47032539791456</v>
      </c>
      <c r="J185" s="3">
        <f>10*LOG10(POWER(10,Tx_power_ds/10)/F_Nyquist_ds)+IF(Masks[[#This Row],[f]]&gt;F_Nyquist_ds,-50)</f>
        <v>-148.47032539791456</v>
      </c>
      <c r="K185" s="3">
        <f>IF(Masks[[#This Row],[f]]&gt;F_Nyquist_us,0,1)</f>
        <v>0</v>
      </c>
      <c r="L185" s="3">
        <f>IF(Masks[[#This Row],[f]]&gt;F_Nyquist_ds,0,1)</f>
        <v>0</v>
      </c>
      <c r="M185" s="3">
        <f>Config!B$7</f>
        <v>-40</v>
      </c>
      <c r="N185" s="3">
        <f>IF(Config!B$8&gt;0,10*LOG10($T$1*Masks[[#This Row],[f]]+Config!B$8*0.00073),-1000)</f>
        <v>-8.4260368067677085</v>
      </c>
      <c r="O185" s="3">
        <f>10*LOG10((10^(Masks[[#This Row],[wire_echo]]/10))+(10^(Masks[[#This Row],[connector_echo]]/10)))</f>
        <v>-8.4230152072448377</v>
      </c>
      <c r="P185" s="65"/>
      <c r="Q185" s="65"/>
    </row>
    <row r="186" spans="1:17" x14ac:dyDescent="0.25">
      <c r="A186" s="2">
        <v>-148.47032539791456</v>
      </c>
      <c r="B186" s="2">
        <v>-148.47032539791456</v>
      </c>
      <c r="D186">
        <f>Calculate[[#This Row],[Freq]]</f>
        <v>8325000000</v>
      </c>
      <c r="E186" s="2">
        <f>MIN(-90, -89-Masks[[#This Row],[f]]/(600000000*S_ch_us),-82-Masks[[#This Row],[f]]/(250000000*S_ch_us))-K_ch_UPSD_us</f>
        <v>-99.299400086720368</v>
      </c>
      <c r="F186" s="2">
        <f>MIN(-90, -89-Masks[[#This Row],[f]]/(600000000*S_ch_ds),-82-Masks[[#This Row],[f]]/(250000000*S_ch_ds))-K_ch_UPSD_ds</f>
        <v>-99.299400086720368</v>
      </c>
      <c r="G186">
        <f>-MAX(MIN(20,20-10*LOG10(2*Masks[[#This Row],[f]]/480000000)),12-3)</f>
        <v>-9</v>
      </c>
      <c r="H186">
        <f>-MAX(MIN(20,20-10*LOG10(2*Masks[[#This Row],[f]]/480000000)),12-3)</f>
        <v>-9</v>
      </c>
      <c r="I186">
        <f>10*LOG10(POWER(10,Tx_power_us/10)/F_Nyquist_us)+IF(Masks[[#This Row],[f]]&gt;F_Nyquist_us,-50)</f>
        <v>-148.47032539791456</v>
      </c>
      <c r="J186" s="3">
        <f>10*LOG10(POWER(10,Tx_power_ds/10)/F_Nyquist_ds)+IF(Masks[[#This Row],[f]]&gt;F_Nyquist_ds,-50)</f>
        <v>-148.47032539791456</v>
      </c>
      <c r="K186" s="3">
        <f>IF(Masks[[#This Row],[f]]&gt;F_Nyquist_us,0,1)</f>
        <v>0</v>
      </c>
      <c r="L186" s="3">
        <f>IF(Masks[[#This Row],[f]]&gt;F_Nyquist_ds,0,1)</f>
        <v>0</v>
      </c>
      <c r="M186" s="3">
        <f>Config!B$7</f>
        <v>-40</v>
      </c>
      <c r="N186" s="3">
        <f>IF(Config!B$8&gt;0,10*LOG10($T$1*Masks[[#This Row],[f]]+Config!B$8*0.00073),-1000)</f>
        <v>-8.4029748677230849</v>
      </c>
      <c r="O186" s="3">
        <f>10*LOG10((10^(Masks[[#This Row],[wire_echo]]/10))+(10^(Masks[[#This Row],[connector_echo]]/10)))</f>
        <v>-8.39996926545839</v>
      </c>
      <c r="P186" s="65"/>
      <c r="Q186" s="65"/>
    </row>
    <row r="187" spans="1:17" x14ac:dyDescent="0.25">
      <c r="A187" s="2">
        <v>-148.47032539791456</v>
      </c>
      <c r="B187" s="2">
        <v>-148.47032539791456</v>
      </c>
      <c r="D187">
        <f>Calculate[[#This Row],[Freq]]</f>
        <v>8370000000</v>
      </c>
      <c r="E187" s="2">
        <f>MIN(-90, -89-Masks[[#This Row],[f]]/(600000000*S_ch_us),-82-Masks[[#This Row],[f]]/(250000000*S_ch_us))-K_ch_UPSD_us</f>
        <v>-99.371400086720371</v>
      </c>
      <c r="F187" s="2">
        <f>MIN(-90, -89-Masks[[#This Row],[f]]/(600000000*S_ch_ds),-82-Masks[[#This Row],[f]]/(250000000*S_ch_ds))-K_ch_UPSD_ds</f>
        <v>-99.371400086720371</v>
      </c>
      <c r="G187">
        <f>-MAX(MIN(20,20-10*LOG10(2*Masks[[#This Row],[f]]/480000000)),12-3)</f>
        <v>-9</v>
      </c>
      <c r="H187">
        <f>-MAX(MIN(20,20-10*LOG10(2*Masks[[#This Row],[f]]/480000000)),12-3)</f>
        <v>-9</v>
      </c>
      <c r="I187">
        <f>10*LOG10(POWER(10,Tx_power_us/10)/F_Nyquist_us)+IF(Masks[[#This Row],[f]]&gt;F_Nyquist_us,-50)</f>
        <v>-148.47032539791456</v>
      </c>
      <c r="J187" s="3">
        <f>10*LOG10(POWER(10,Tx_power_ds/10)/F_Nyquist_ds)+IF(Masks[[#This Row],[f]]&gt;F_Nyquist_ds,-50)</f>
        <v>-148.47032539791456</v>
      </c>
      <c r="K187" s="3">
        <f>IF(Masks[[#This Row],[f]]&gt;F_Nyquist_us,0,1)</f>
        <v>0</v>
      </c>
      <c r="L187" s="3">
        <f>IF(Masks[[#This Row],[f]]&gt;F_Nyquist_ds,0,1)</f>
        <v>0</v>
      </c>
      <c r="M187" s="3">
        <f>Config!B$7</f>
        <v>-40</v>
      </c>
      <c r="N187" s="3">
        <f>IF(Config!B$8&gt;0,10*LOG10($T$1*Masks[[#This Row],[f]]+Config!B$8*0.00073),-1000)</f>
        <v>-8.3800347457755429</v>
      </c>
      <c r="O187" s="3">
        <f>10*LOG10((10^(Masks[[#This Row],[wire_echo]]/10))+(10^(Masks[[#This Row],[connector_echo]]/10)))</f>
        <v>-8.3770449722724791</v>
      </c>
      <c r="P187" s="65"/>
      <c r="Q187" s="65"/>
    </row>
    <row r="188" spans="1:17" x14ac:dyDescent="0.25">
      <c r="A188" s="2">
        <v>-148.47032539791456</v>
      </c>
      <c r="B188" s="2">
        <v>-148.47032539791456</v>
      </c>
      <c r="D188">
        <f>Calculate[[#This Row],[Freq]]</f>
        <v>8415000000</v>
      </c>
      <c r="E188" s="2">
        <f>MIN(-90, -89-Masks[[#This Row],[f]]/(600000000*S_ch_us),-82-Masks[[#This Row],[f]]/(250000000*S_ch_us))-K_ch_UPSD_us</f>
        <v>-99.443400086720374</v>
      </c>
      <c r="F188" s="2">
        <f>MIN(-90, -89-Masks[[#This Row],[f]]/(600000000*S_ch_ds),-82-Masks[[#This Row],[f]]/(250000000*S_ch_ds))-K_ch_UPSD_ds</f>
        <v>-99.443400086720374</v>
      </c>
      <c r="G188">
        <f>-MAX(MIN(20,20-10*LOG10(2*Masks[[#This Row],[f]]/480000000)),12-3)</f>
        <v>-9</v>
      </c>
      <c r="H188">
        <f>-MAX(MIN(20,20-10*LOG10(2*Masks[[#This Row],[f]]/480000000)),12-3)</f>
        <v>-9</v>
      </c>
      <c r="I188">
        <f>10*LOG10(POWER(10,Tx_power_us/10)/F_Nyquist_us)+IF(Masks[[#This Row],[f]]&gt;F_Nyquist_us,-50)</f>
        <v>-148.47032539791456</v>
      </c>
      <c r="J188" s="3">
        <f>10*LOG10(POWER(10,Tx_power_ds/10)/F_Nyquist_ds)+IF(Masks[[#This Row],[f]]&gt;F_Nyquist_ds,-50)</f>
        <v>-148.47032539791456</v>
      </c>
      <c r="K188" s="3">
        <f>IF(Masks[[#This Row],[f]]&gt;F_Nyquist_us,0,1)</f>
        <v>0</v>
      </c>
      <c r="L188" s="3">
        <f>IF(Masks[[#This Row],[f]]&gt;F_Nyquist_ds,0,1)</f>
        <v>0</v>
      </c>
      <c r="M188" s="3">
        <f>Config!B$7</f>
        <v>-40</v>
      </c>
      <c r="N188" s="3">
        <f>IF(Config!B$8&gt;0,10*LOG10($T$1*Masks[[#This Row],[f]]+Config!B$8*0.00073),-1000)</f>
        <v>-8.3572151607667511</v>
      </c>
      <c r="O188" s="3">
        <f>10*LOG10((10^(Masks[[#This Row],[wire_echo]]/10))+(10^(Masks[[#This Row],[connector_echo]]/10)))</f>
        <v>-8.3542410501769488</v>
      </c>
      <c r="P188" s="65"/>
      <c r="Q188" s="65"/>
    </row>
    <row r="189" spans="1:17" x14ac:dyDescent="0.25">
      <c r="A189" s="2">
        <v>-148.47032539791456</v>
      </c>
      <c r="B189" s="2">
        <v>-148.47032539791456</v>
      </c>
      <c r="D189">
        <f>Calculate[[#This Row],[Freq]]</f>
        <v>8460000000</v>
      </c>
      <c r="E189" s="2">
        <f>MIN(-90, -89-Masks[[#This Row],[f]]/(600000000*S_ch_us),-82-Masks[[#This Row],[f]]/(250000000*S_ch_us))-K_ch_UPSD_us</f>
        <v>-99.515400086720376</v>
      </c>
      <c r="F189" s="2">
        <f>MIN(-90, -89-Masks[[#This Row],[f]]/(600000000*S_ch_ds),-82-Masks[[#This Row],[f]]/(250000000*S_ch_ds))-K_ch_UPSD_ds</f>
        <v>-99.515400086720376</v>
      </c>
      <c r="G189">
        <f>-MAX(MIN(20,20-10*LOG10(2*Masks[[#This Row],[f]]/480000000)),12-3)</f>
        <v>-9</v>
      </c>
      <c r="H189">
        <f>-MAX(MIN(20,20-10*LOG10(2*Masks[[#This Row],[f]]/480000000)),12-3)</f>
        <v>-9</v>
      </c>
      <c r="I189">
        <f>10*LOG10(POWER(10,Tx_power_us/10)/F_Nyquist_us)+IF(Masks[[#This Row],[f]]&gt;F_Nyquist_us,-50)</f>
        <v>-148.47032539791456</v>
      </c>
      <c r="J189" s="3">
        <f>10*LOG10(POWER(10,Tx_power_ds/10)/F_Nyquist_ds)+IF(Masks[[#This Row],[f]]&gt;F_Nyquist_ds,-50)</f>
        <v>-148.47032539791456</v>
      </c>
      <c r="K189" s="3">
        <f>IF(Masks[[#This Row],[f]]&gt;F_Nyquist_us,0,1)</f>
        <v>0</v>
      </c>
      <c r="L189" s="3">
        <f>IF(Masks[[#This Row],[f]]&gt;F_Nyquist_ds,0,1)</f>
        <v>0</v>
      </c>
      <c r="M189" s="3">
        <f>Config!B$7</f>
        <v>-40</v>
      </c>
      <c r="N189" s="3">
        <f>IF(Config!B$8&gt;0,10*LOG10($T$1*Masks[[#This Row],[f]]+Config!B$8*0.00073),-1000)</f>
        <v>-8.3345148526124486</v>
      </c>
      <c r="O189" s="3">
        <f>10*LOG10((10^(Masks[[#This Row],[wire_echo]]/10))+(10^(Masks[[#This Row],[connector_echo]]/10)))</f>
        <v>-8.3315562416805093</v>
      </c>
      <c r="P189" s="65"/>
      <c r="Q189" s="65"/>
    </row>
    <row r="190" spans="1:17" x14ac:dyDescent="0.25">
      <c r="A190" s="2">
        <v>-148.47032539791456</v>
      </c>
      <c r="B190" s="2">
        <v>-148.47032539791456</v>
      </c>
      <c r="D190">
        <f>Calculate[[#This Row],[Freq]]</f>
        <v>8505000000</v>
      </c>
      <c r="E190" s="2">
        <f>MIN(-90, -89-Masks[[#This Row],[f]]/(600000000*S_ch_us),-82-Masks[[#This Row],[f]]/(250000000*S_ch_us))-K_ch_UPSD_us</f>
        <v>-99.587400086720379</v>
      </c>
      <c r="F190" s="2">
        <f>MIN(-90, -89-Masks[[#This Row],[f]]/(600000000*S_ch_ds),-82-Masks[[#This Row],[f]]/(250000000*S_ch_ds))-K_ch_UPSD_ds</f>
        <v>-99.587400086720379</v>
      </c>
      <c r="G190">
        <f>-MAX(MIN(20,20-10*LOG10(2*Masks[[#This Row],[f]]/480000000)),12-3)</f>
        <v>-9</v>
      </c>
      <c r="H190">
        <f>-MAX(MIN(20,20-10*LOG10(2*Masks[[#This Row],[f]]/480000000)),12-3)</f>
        <v>-9</v>
      </c>
      <c r="I190">
        <f>10*LOG10(POWER(10,Tx_power_us/10)/F_Nyquist_us)+IF(Masks[[#This Row],[f]]&gt;F_Nyquist_us,-50)</f>
        <v>-148.47032539791456</v>
      </c>
      <c r="J190" s="3">
        <f>10*LOG10(POWER(10,Tx_power_ds/10)/F_Nyquist_ds)+IF(Masks[[#This Row],[f]]&gt;F_Nyquist_ds,-50)</f>
        <v>-148.47032539791456</v>
      </c>
      <c r="K190" s="3">
        <f>IF(Masks[[#This Row],[f]]&gt;F_Nyquist_us,0,1)</f>
        <v>0</v>
      </c>
      <c r="L190" s="3">
        <f>IF(Masks[[#This Row],[f]]&gt;F_Nyquist_ds,0,1)</f>
        <v>0</v>
      </c>
      <c r="M190" s="3">
        <f>Config!B$7</f>
        <v>-40</v>
      </c>
      <c r="N190" s="3">
        <f>IF(Config!B$8&gt;0,10*LOG10($T$1*Masks[[#This Row],[f]]+Config!B$8*0.00073),-1000)</f>
        <v>-8.3119325808849123</v>
      </c>
      <c r="O190" s="3">
        <f>10*LOG10((10^(Masks[[#This Row],[wire_echo]]/10))+(10^(Masks[[#This Row],[connector_echo]]/10)))</f>
        <v>-8.3089893088946347</v>
      </c>
      <c r="P190" s="65"/>
      <c r="Q190" s="65"/>
    </row>
    <row r="191" spans="1:17" x14ac:dyDescent="0.25">
      <c r="A191" s="2">
        <v>-148.47032539791456</v>
      </c>
      <c r="B191" s="2">
        <v>-148.47032539791456</v>
      </c>
      <c r="D191">
        <f>Calculate[[#This Row],[Freq]]</f>
        <v>8550000000</v>
      </c>
      <c r="E191" s="2">
        <f>MIN(-90, -89-Masks[[#This Row],[f]]/(600000000*S_ch_us),-82-Masks[[#This Row],[f]]/(250000000*S_ch_us))-K_ch_UPSD_us</f>
        <v>-99.659400086720382</v>
      </c>
      <c r="F191" s="2">
        <f>MIN(-90, -89-Masks[[#This Row],[f]]/(600000000*S_ch_ds),-82-Masks[[#This Row],[f]]/(250000000*S_ch_ds))-K_ch_UPSD_ds</f>
        <v>-99.659400086720382</v>
      </c>
      <c r="G191">
        <f>-MAX(MIN(20,20-10*LOG10(2*Masks[[#This Row],[f]]/480000000)),12-3)</f>
        <v>-9</v>
      </c>
      <c r="H191">
        <f>-MAX(MIN(20,20-10*LOG10(2*Masks[[#This Row],[f]]/480000000)),12-3)</f>
        <v>-9</v>
      </c>
      <c r="I191">
        <f>10*LOG10(POWER(10,Tx_power_us/10)/F_Nyquist_us)+IF(Masks[[#This Row],[f]]&gt;F_Nyquist_us,-50)</f>
        <v>-148.47032539791456</v>
      </c>
      <c r="J191" s="3">
        <f>10*LOG10(POWER(10,Tx_power_ds/10)/F_Nyquist_ds)+IF(Masks[[#This Row],[f]]&gt;F_Nyquist_ds,-50)</f>
        <v>-148.47032539791456</v>
      </c>
      <c r="K191" s="3">
        <f>IF(Masks[[#This Row],[f]]&gt;F_Nyquist_us,0,1)</f>
        <v>0</v>
      </c>
      <c r="L191" s="3">
        <f>IF(Masks[[#This Row],[f]]&gt;F_Nyquist_ds,0,1)</f>
        <v>0</v>
      </c>
      <c r="M191" s="3">
        <f>Config!B$7</f>
        <v>-40</v>
      </c>
      <c r="N191" s="3">
        <f>IF(Config!B$8&gt;0,10*LOG10($T$1*Masks[[#This Row],[f]]+Config!B$8*0.00073),-1000)</f>
        <v>-8.2894671244062383</v>
      </c>
      <c r="O191" s="3">
        <f>10*LOG10((10^(Masks[[#This Row],[wire_echo]]/10))+(10^(Masks[[#This Row],[connector_echo]]/10)))</f>
        <v>-8.2865390331282267</v>
      </c>
      <c r="P191" s="65"/>
      <c r="Q191" s="65"/>
    </row>
    <row r="192" spans="1:17" x14ac:dyDescent="0.25">
      <c r="A192" s="2">
        <v>-148.47032539791456</v>
      </c>
      <c r="B192" s="2">
        <v>-148.47032539791456</v>
      </c>
      <c r="D192">
        <f>Calculate[[#This Row],[Freq]]</f>
        <v>8595000000</v>
      </c>
      <c r="E192" s="2">
        <f>MIN(-90, -89-Masks[[#This Row],[f]]/(600000000*S_ch_us),-82-Masks[[#This Row],[f]]/(250000000*S_ch_us))-K_ch_UPSD_us</f>
        <v>-99.73140008672037</v>
      </c>
      <c r="F192" s="2">
        <f>MIN(-90, -89-Masks[[#This Row],[f]]/(600000000*S_ch_ds),-82-Masks[[#This Row],[f]]/(250000000*S_ch_ds))-K_ch_UPSD_ds</f>
        <v>-99.73140008672037</v>
      </c>
      <c r="G192">
        <f>-MAX(MIN(20,20-10*LOG10(2*Masks[[#This Row],[f]]/480000000)),12-3)</f>
        <v>-9</v>
      </c>
      <c r="H192">
        <f>-MAX(MIN(20,20-10*LOG10(2*Masks[[#This Row],[f]]/480000000)),12-3)</f>
        <v>-9</v>
      </c>
      <c r="I192">
        <f>10*LOG10(POWER(10,Tx_power_us/10)/F_Nyquist_us)+IF(Masks[[#This Row],[f]]&gt;F_Nyquist_us,-50)</f>
        <v>-148.47032539791456</v>
      </c>
      <c r="J192" s="3">
        <f>10*LOG10(POWER(10,Tx_power_ds/10)/F_Nyquist_ds)+IF(Masks[[#This Row],[f]]&gt;F_Nyquist_ds,-50)</f>
        <v>-148.47032539791456</v>
      </c>
      <c r="K192" s="3">
        <f>IF(Masks[[#This Row],[f]]&gt;F_Nyquist_us,0,1)</f>
        <v>0</v>
      </c>
      <c r="L192" s="3">
        <f>IF(Masks[[#This Row],[f]]&gt;F_Nyquist_ds,0,1)</f>
        <v>0</v>
      </c>
      <c r="M192" s="3">
        <f>Config!B$7</f>
        <v>-40</v>
      </c>
      <c r="N192" s="3">
        <f>IF(Config!B$8&gt;0,10*LOG10($T$1*Masks[[#This Row],[f]]+Config!B$8*0.00073),-1000)</f>
        <v>-8.2671172808520783</v>
      </c>
      <c r="O192" s="3">
        <f>10*LOG10((10^(Masks[[#This Row],[wire_echo]]/10))+(10^(Masks[[#This Row],[connector_echo]]/10)))</f>
        <v>-8.264204214492711</v>
      </c>
      <c r="P192" s="65"/>
      <c r="Q192" s="65"/>
    </row>
    <row r="193" spans="1:17" x14ac:dyDescent="0.25">
      <c r="A193" s="2">
        <v>-148.47032539791456</v>
      </c>
      <c r="B193" s="2">
        <v>-148.47032539791456</v>
      </c>
      <c r="D193">
        <f>Calculate[[#This Row],[Freq]]</f>
        <v>8640000000</v>
      </c>
      <c r="E193" s="2">
        <f>MIN(-90, -89-Masks[[#This Row],[f]]/(600000000*S_ch_us),-82-Masks[[#This Row],[f]]/(250000000*S_ch_us))-K_ch_UPSD_us</f>
        <v>-99.803400086720373</v>
      </c>
      <c r="F193" s="2">
        <f>MIN(-90, -89-Masks[[#This Row],[f]]/(600000000*S_ch_ds),-82-Masks[[#This Row],[f]]/(250000000*S_ch_ds))-K_ch_UPSD_ds</f>
        <v>-99.803400086720373</v>
      </c>
      <c r="G193">
        <f>-MAX(MIN(20,20-10*LOG10(2*Masks[[#This Row],[f]]/480000000)),12-3)</f>
        <v>-9</v>
      </c>
      <c r="H193">
        <f>-MAX(MIN(20,20-10*LOG10(2*Masks[[#This Row],[f]]/480000000)),12-3)</f>
        <v>-9</v>
      </c>
      <c r="I193">
        <f>10*LOG10(POWER(10,Tx_power_us/10)/F_Nyquist_us)+IF(Masks[[#This Row],[f]]&gt;F_Nyquist_us,-50)</f>
        <v>-148.47032539791456</v>
      </c>
      <c r="J193" s="3">
        <f>10*LOG10(POWER(10,Tx_power_ds/10)/F_Nyquist_ds)+IF(Masks[[#This Row],[f]]&gt;F_Nyquist_ds,-50)</f>
        <v>-148.47032539791456</v>
      </c>
      <c r="K193" s="3">
        <f>IF(Masks[[#This Row],[f]]&gt;F_Nyquist_us,0,1)</f>
        <v>0</v>
      </c>
      <c r="L193" s="3">
        <f>IF(Masks[[#This Row],[f]]&gt;F_Nyquist_ds,0,1)</f>
        <v>0</v>
      </c>
      <c r="M193" s="3">
        <f>Config!B$7</f>
        <v>-40</v>
      </c>
      <c r="N193" s="3">
        <f>IF(Config!B$8&gt;0,10*LOG10($T$1*Masks[[#This Row],[f]]+Config!B$8*0.00073),-1000)</f>
        <v>-8.2448818663655228</v>
      </c>
      <c r="O193" s="3">
        <f>10*LOG10((10^(Masks[[#This Row],[wire_echo]]/10))+(10^(Masks[[#This Row],[connector_echo]]/10)))</f>
        <v>-8.2419836715172057</v>
      </c>
      <c r="P193" s="65"/>
      <c r="Q193" s="65"/>
    </row>
    <row r="194" spans="1:17" x14ac:dyDescent="0.25">
      <c r="A194" s="2">
        <v>-148.47032539791456</v>
      </c>
      <c r="B194" s="2">
        <v>-148.47032539791456</v>
      </c>
      <c r="D194">
        <f>Calculate[[#This Row],[Freq]]</f>
        <v>8685000000</v>
      </c>
      <c r="E194" s="2">
        <f>MIN(-90, -89-Masks[[#This Row],[f]]/(600000000*S_ch_us),-82-Masks[[#This Row],[f]]/(250000000*S_ch_us))-K_ch_UPSD_us</f>
        <v>-99.875400086720376</v>
      </c>
      <c r="F194" s="2">
        <f>MIN(-90, -89-Masks[[#This Row],[f]]/(600000000*S_ch_ds),-82-Masks[[#This Row],[f]]/(250000000*S_ch_ds))-K_ch_UPSD_ds</f>
        <v>-99.875400086720376</v>
      </c>
      <c r="G194">
        <f>-MAX(MIN(20,20-10*LOG10(2*Masks[[#This Row],[f]]/480000000)),12-3)</f>
        <v>-9</v>
      </c>
      <c r="H194">
        <f>-MAX(MIN(20,20-10*LOG10(2*Masks[[#This Row],[f]]/480000000)),12-3)</f>
        <v>-9</v>
      </c>
      <c r="I194">
        <f>10*LOG10(POWER(10,Tx_power_us/10)/F_Nyquist_us)+IF(Masks[[#This Row],[f]]&gt;F_Nyquist_us,-50)</f>
        <v>-148.47032539791456</v>
      </c>
      <c r="J194" s="3">
        <f>10*LOG10(POWER(10,Tx_power_ds/10)/F_Nyquist_ds)+IF(Masks[[#This Row],[f]]&gt;F_Nyquist_ds,-50)</f>
        <v>-148.47032539791456</v>
      </c>
      <c r="K194" s="3">
        <f>IF(Masks[[#This Row],[f]]&gt;F_Nyquist_us,0,1)</f>
        <v>0</v>
      </c>
      <c r="L194" s="3">
        <f>IF(Masks[[#This Row],[f]]&gt;F_Nyquist_ds,0,1)</f>
        <v>0</v>
      </c>
      <c r="M194" s="3">
        <f>Config!B$7</f>
        <v>-40</v>
      </c>
      <c r="N194" s="3">
        <f>IF(Config!B$8&gt;0,10*LOG10($T$1*Masks[[#This Row],[f]]+Config!B$8*0.00073),-1000)</f>
        <v>-8.2227597151808212</v>
      </c>
      <c r="O194" s="3">
        <f>10*LOG10((10^(Masks[[#This Row],[wire_echo]]/10))+(10^(Masks[[#This Row],[connector_echo]]/10)))</f>
        <v>-8.2198762407735106</v>
      </c>
      <c r="P194" s="65"/>
      <c r="Q194" s="65"/>
    </row>
    <row r="195" spans="1:17" x14ac:dyDescent="0.25">
      <c r="A195" s="2">
        <v>-148.47032539791456</v>
      </c>
      <c r="B195" s="2">
        <v>-148.47032539791456</v>
      </c>
      <c r="D195">
        <f>Calculate[[#This Row],[Freq]]</f>
        <v>8730000000</v>
      </c>
      <c r="E195" s="2">
        <f>MIN(-90, -89-Masks[[#This Row],[f]]/(600000000*S_ch_us),-82-Masks[[#This Row],[f]]/(250000000*S_ch_us))-K_ch_UPSD_us</f>
        <v>-99.947400086720378</v>
      </c>
      <c r="F195" s="2">
        <f>MIN(-90, -89-Masks[[#This Row],[f]]/(600000000*S_ch_ds),-82-Masks[[#This Row],[f]]/(250000000*S_ch_ds))-K_ch_UPSD_ds</f>
        <v>-99.947400086720378</v>
      </c>
      <c r="G195">
        <f>-MAX(MIN(20,20-10*LOG10(2*Masks[[#This Row],[f]]/480000000)),12-3)</f>
        <v>-9</v>
      </c>
      <c r="H195">
        <f>-MAX(MIN(20,20-10*LOG10(2*Masks[[#This Row],[f]]/480000000)),12-3)</f>
        <v>-9</v>
      </c>
      <c r="I195">
        <f>10*LOG10(POWER(10,Tx_power_us/10)/F_Nyquist_us)+IF(Masks[[#This Row],[f]]&gt;F_Nyquist_us,-50)</f>
        <v>-148.47032539791456</v>
      </c>
      <c r="J195" s="3">
        <f>10*LOG10(POWER(10,Tx_power_ds/10)/F_Nyquist_ds)+IF(Masks[[#This Row],[f]]&gt;F_Nyquist_ds,-50)</f>
        <v>-148.47032539791456</v>
      </c>
      <c r="K195" s="3">
        <f>IF(Masks[[#This Row],[f]]&gt;F_Nyquist_us,0,1)</f>
        <v>0</v>
      </c>
      <c r="L195" s="3">
        <f>IF(Masks[[#This Row],[f]]&gt;F_Nyquist_ds,0,1)</f>
        <v>0</v>
      </c>
      <c r="M195" s="3">
        <f>Config!B$7</f>
        <v>-40</v>
      </c>
      <c r="N195" s="3">
        <f>IF(Config!B$8&gt;0,10*LOG10($T$1*Masks[[#This Row],[f]]+Config!B$8*0.00073),-1000)</f>
        <v>-8.2007496792566332</v>
      </c>
      <c r="O195" s="3">
        <f>10*LOG10((10^(Masks[[#This Row],[wire_echo]]/10))+(10^(Masks[[#This Row],[connector_echo]]/10)))</f>
        <v>-8.1978807765105888</v>
      </c>
      <c r="P195" s="65"/>
      <c r="Q195" s="65"/>
    </row>
    <row r="196" spans="1:17" x14ac:dyDescent="0.25">
      <c r="A196" s="2">
        <v>-148.47032539791456</v>
      </c>
      <c r="B196" s="2">
        <v>-148.47032539791456</v>
      </c>
      <c r="D196">
        <f>Calculate[[#This Row],[Freq]]</f>
        <v>8775000000</v>
      </c>
      <c r="E196" s="2">
        <f>MIN(-90, -89-Masks[[#This Row],[f]]/(600000000*S_ch_us),-82-Masks[[#This Row],[f]]/(250000000*S_ch_us))-K_ch_UPSD_us</f>
        <v>-100.01940008672037</v>
      </c>
      <c r="F196" s="2">
        <f>MIN(-90, -89-Masks[[#This Row],[f]]/(600000000*S_ch_ds),-82-Masks[[#This Row],[f]]/(250000000*S_ch_ds))-K_ch_UPSD_ds</f>
        <v>-100.01940008672037</v>
      </c>
      <c r="G196">
        <f>-MAX(MIN(20,20-10*LOG10(2*Masks[[#This Row],[f]]/480000000)),12-3)</f>
        <v>-9</v>
      </c>
      <c r="H196">
        <f>-MAX(MIN(20,20-10*LOG10(2*Masks[[#This Row],[f]]/480000000)),12-3)</f>
        <v>-9</v>
      </c>
      <c r="I196">
        <f>10*LOG10(POWER(10,Tx_power_us/10)/F_Nyquist_us)+IF(Masks[[#This Row],[f]]&gt;F_Nyquist_us,-50)</f>
        <v>-148.47032539791456</v>
      </c>
      <c r="J196" s="3">
        <f>10*LOG10(POWER(10,Tx_power_ds/10)/F_Nyquist_ds)+IF(Masks[[#This Row],[f]]&gt;F_Nyquist_ds,-50)</f>
        <v>-148.47032539791456</v>
      </c>
      <c r="K196" s="3">
        <f>IF(Masks[[#This Row],[f]]&gt;F_Nyquist_us,0,1)</f>
        <v>0</v>
      </c>
      <c r="L196" s="3">
        <f>IF(Masks[[#This Row],[f]]&gt;F_Nyquist_ds,0,1)</f>
        <v>0</v>
      </c>
      <c r="M196" s="3">
        <f>Config!B$7</f>
        <v>-40</v>
      </c>
      <c r="N196" s="3">
        <f>IF(Config!B$8&gt;0,10*LOG10($T$1*Masks[[#This Row],[f]]+Config!B$8*0.00073),-1000)</f>
        <v>-8.1788506279185249</v>
      </c>
      <c r="O196" s="3">
        <f>10*LOG10((10^(Masks[[#This Row],[wire_echo]]/10))+(10^(Masks[[#This Row],[connector_echo]]/10)))</f>
        <v>-8.1759961502982428</v>
      </c>
      <c r="P196" s="65"/>
      <c r="Q196" s="65"/>
    </row>
    <row r="197" spans="1:17" x14ac:dyDescent="0.25">
      <c r="A197" s="2">
        <v>-148.47032539791456</v>
      </c>
      <c r="B197" s="2">
        <v>-148.47032539791456</v>
      </c>
      <c r="D197">
        <f>Calculate[[#This Row],[Freq]]</f>
        <v>8820000000</v>
      </c>
      <c r="E197" s="2">
        <f>MIN(-90, -89-Masks[[#This Row],[f]]/(600000000*S_ch_us),-82-Masks[[#This Row],[f]]/(250000000*S_ch_us))-K_ch_UPSD_us</f>
        <v>-100.09140008672037</v>
      </c>
      <c r="F197" s="2">
        <f>MIN(-90, -89-Masks[[#This Row],[f]]/(600000000*S_ch_ds),-82-Masks[[#This Row],[f]]/(250000000*S_ch_ds))-K_ch_UPSD_ds</f>
        <v>-100.09140008672037</v>
      </c>
      <c r="G197">
        <f>-MAX(MIN(20,20-10*LOG10(2*Masks[[#This Row],[f]]/480000000)),12-3)</f>
        <v>-9</v>
      </c>
      <c r="H197">
        <f>-MAX(MIN(20,20-10*LOG10(2*Masks[[#This Row],[f]]/480000000)),12-3)</f>
        <v>-9</v>
      </c>
      <c r="I197">
        <f>10*LOG10(POWER(10,Tx_power_us/10)/F_Nyquist_us)+IF(Masks[[#This Row],[f]]&gt;F_Nyquist_us,-50)</f>
        <v>-148.47032539791456</v>
      </c>
      <c r="J197" s="3">
        <f>10*LOG10(POWER(10,Tx_power_ds/10)/F_Nyquist_ds)+IF(Masks[[#This Row],[f]]&gt;F_Nyquist_ds,-50)</f>
        <v>-148.47032539791456</v>
      </c>
      <c r="K197" s="3">
        <f>IF(Masks[[#This Row],[f]]&gt;F_Nyquist_us,0,1)</f>
        <v>0</v>
      </c>
      <c r="L197" s="3">
        <f>IF(Masks[[#This Row],[f]]&gt;F_Nyquist_ds,0,1)</f>
        <v>0</v>
      </c>
      <c r="M197" s="3">
        <f>Config!B$7</f>
        <v>-40</v>
      </c>
      <c r="N197" s="3">
        <f>IF(Config!B$8&gt;0,10*LOG10($T$1*Masks[[#This Row],[f]]+Config!B$8*0.00073),-1000)</f>
        <v>-8.1570614475104488</v>
      </c>
      <c r="O197" s="3">
        <f>10*LOG10((10^(Masks[[#This Row],[wire_echo]]/10))+(10^(Masks[[#This Row],[connector_echo]]/10)))</f>
        <v>-8.1542212506797522</v>
      </c>
      <c r="P197" s="65"/>
      <c r="Q197" s="65"/>
    </row>
    <row r="198" spans="1:17" x14ac:dyDescent="0.25">
      <c r="A198" s="2">
        <v>-148.47032539791456</v>
      </c>
      <c r="B198" s="2">
        <v>-148.47032539791456</v>
      </c>
      <c r="D198">
        <f>Calculate[[#This Row],[Freq]]</f>
        <v>8865000000</v>
      </c>
      <c r="E198" s="2">
        <f>MIN(-90, -89-Masks[[#This Row],[f]]/(600000000*S_ch_us),-82-Masks[[#This Row],[f]]/(250000000*S_ch_us))-K_ch_UPSD_us</f>
        <v>-100.16340008672037</v>
      </c>
      <c r="F198" s="2">
        <f>MIN(-90, -89-Masks[[#This Row],[f]]/(600000000*S_ch_ds),-82-Masks[[#This Row],[f]]/(250000000*S_ch_ds))-K_ch_UPSD_ds</f>
        <v>-100.16340008672037</v>
      </c>
      <c r="G198">
        <f>-MAX(MIN(20,20-10*LOG10(2*Masks[[#This Row],[f]]/480000000)),12-3)</f>
        <v>-9</v>
      </c>
      <c r="H198">
        <f>-MAX(MIN(20,20-10*LOG10(2*Masks[[#This Row],[f]]/480000000)),12-3)</f>
        <v>-9</v>
      </c>
      <c r="I198">
        <f>10*LOG10(POWER(10,Tx_power_us/10)/F_Nyquist_us)+IF(Masks[[#This Row],[f]]&gt;F_Nyquist_us,-50)</f>
        <v>-148.47032539791456</v>
      </c>
      <c r="J198" s="3">
        <f>10*LOG10(POWER(10,Tx_power_ds/10)/F_Nyquist_ds)+IF(Masks[[#This Row],[f]]&gt;F_Nyquist_ds,-50)</f>
        <v>-148.47032539791456</v>
      </c>
      <c r="K198" s="3">
        <f>IF(Masks[[#This Row],[f]]&gt;F_Nyquist_us,0,1)</f>
        <v>0</v>
      </c>
      <c r="L198" s="3">
        <f>IF(Masks[[#This Row],[f]]&gt;F_Nyquist_ds,0,1)</f>
        <v>0</v>
      </c>
      <c r="M198" s="3">
        <f>Config!B$7</f>
        <v>-40</v>
      </c>
      <c r="N198" s="3">
        <f>IF(Config!B$8&gt;0,10*LOG10($T$1*Masks[[#This Row],[f]]+Config!B$8*0.00073),-1000)</f>
        <v>-8.1353810410548952</v>
      </c>
      <c r="O198" s="3">
        <f>10*LOG10((10^(Masks[[#This Row],[wire_echo]]/10))+(10^(Masks[[#This Row],[connector_echo]]/10)))</f>
        <v>-8.1325549828331418</v>
      </c>
      <c r="P198" s="65"/>
      <c r="Q198" s="65"/>
    </row>
    <row r="199" spans="1:17" x14ac:dyDescent="0.25">
      <c r="A199" s="2">
        <v>-148.47032539791456</v>
      </c>
      <c r="B199" s="2">
        <v>-148.47032539791456</v>
      </c>
      <c r="D199">
        <f>Calculate[[#This Row],[Freq]]</f>
        <v>8910000000</v>
      </c>
      <c r="E199" s="2">
        <f>MIN(-90, -89-Masks[[#This Row],[f]]/(600000000*S_ch_us),-82-Masks[[#This Row],[f]]/(250000000*S_ch_us))-K_ch_UPSD_us</f>
        <v>-100.23540008672038</v>
      </c>
      <c r="F199" s="2">
        <f>MIN(-90, -89-Masks[[#This Row],[f]]/(600000000*S_ch_ds),-82-Masks[[#This Row],[f]]/(250000000*S_ch_ds))-K_ch_UPSD_ds</f>
        <v>-100.23540008672038</v>
      </c>
      <c r="G199">
        <f>-MAX(MIN(20,20-10*LOG10(2*Masks[[#This Row],[f]]/480000000)),12-3)</f>
        <v>-9</v>
      </c>
      <c r="H199">
        <f>-MAX(MIN(20,20-10*LOG10(2*Masks[[#This Row],[f]]/480000000)),12-3)</f>
        <v>-9</v>
      </c>
      <c r="I199">
        <f>10*LOG10(POWER(10,Tx_power_us/10)/F_Nyquist_us)+IF(Masks[[#This Row],[f]]&gt;F_Nyquist_us,-50)</f>
        <v>-148.47032539791456</v>
      </c>
      <c r="J199" s="3">
        <f>10*LOG10(POWER(10,Tx_power_ds/10)/F_Nyquist_ds)+IF(Masks[[#This Row],[f]]&gt;F_Nyquist_ds,-50)</f>
        <v>-148.47032539791456</v>
      </c>
      <c r="K199" s="3">
        <f>IF(Masks[[#This Row],[f]]&gt;F_Nyquist_us,0,1)</f>
        <v>0</v>
      </c>
      <c r="L199" s="3">
        <f>IF(Masks[[#This Row],[f]]&gt;F_Nyquist_ds,0,1)</f>
        <v>0</v>
      </c>
      <c r="M199" s="3">
        <f>Config!B$7</f>
        <v>-40</v>
      </c>
      <c r="N199" s="3">
        <f>IF(Config!B$8&gt;0,10*LOG10($T$1*Masks[[#This Row],[f]]+Config!B$8*0.00073),-1000)</f>
        <v>-8.1138083279215127</v>
      </c>
      <c r="O199" s="3">
        <f>10*LOG10((10^(Masks[[#This Row],[wire_echo]]/10))+(10^(Masks[[#This Row],[connector_echo]]/10)))</f>
        <v>-8.110996268240882</v>
      </c>
      <c r="P199" s="65"/>
      <c r="Q199" s="65"/>
    </row>
    <row r="200" spans="1:17" x14ac:dyDescent="0.25">
      <c r="A200" s="2">
        <v>-148.47032539791456</v>
      </c>
      <c r="B200" s="2">
        <v>-148.47032539791456</v>
      </c>
      <c r="D200">
        <f>Calculate[[#This Row],[Freq]]</f>
        <v>8955000000</v>
      </c>
      <c r="E200" s="2">
        <f>MIN(-90, -89-Masks[[#This Row],[f]]/(600000000*S_ch_us),-82-Masks[[#This Row],[f]]/(250000000*S_ch_us))-K_ch_UPSD_us</f>
        <v>-100.30740008672038</v>
      </c>
      <c r="F200" s="2">
        <f>MIN(-90, -89-Masks[[#This Row],[f]]/(600000000*S_ch_ds),-82-Masks[[#This Row],[f]]/(250000000*S_ch_ds))-K_ch_UPSD_ds</f>
        <v>-100.30740008672038</v>
      </c>
      <c r="G200">
        <f>-MAX(MIN(20,20-10*LOG10(2*Masks[[#This Row],[f]]/480000000)),12-3)</f>
        <v>-9</v>
      </c>
      <c r="H200">
        <f>-MAX(MIN(20,20-10*LOG10(2*Masks[[#This Row],[f]]/480000000)),12-3)</f>
        <v>-9</v>
      </c>
      <c r="I200">
        <f>10*LOG10(POWER(10,Tx_power_us/10)/F_Nyquist_us)+IF(Masks[[#This Row],[f]]&gt;F_Nyquist_us,-50)</f>
        <v>-148.47032539791456</v>
      </c>
      <c r="J200" s="3">
        <f>10*LOG10(POWER(10,Tx_power_ds/10)/F_Nyquist_ds)+IF(Masks[[#This Row],[f]]&gt;F_Nyquist_ds,-50)</f>
        <v>-148.47032539791456</v>
      </c>
      <c r="K200" s="3">
        <f>IF(Masks[[#This Row],[f]]&gt;F_Nyquist_us,0,1)</f>
        <v>0</v>
      </c>
      <c r="L200" s="3">
        <f>IF(Masks[[#This Row],[f]]&gt;F_Nyquist_ds,0,1)</f>
        <v>0</v>
      </c>
      <c r="M200" s="3">
        <f>Config!B$7</f>
        <v>-40</v>
      </c>
      <c r="N200" s="3">
        <f>IF(Config!B$8&gt;0,10*LOG10($T$1*Masks[[#This Row],[f]]+Config!B$8*0.00073),-1000)</f>
        <v>-8.0923422435039001</v>
      </c>
      <c r="O200" s="3">
        <f>10*LOG10((10^(Masks[[#This Row],[wire_echo]]/10))+(10^(Masks[[#This Row],[connector_echo]]/10)))</f>
        <v>-8.0895440443677451</v>
      </c>
      <c r="P200" s="65"/>
      <c r="Q200" s="65"/>
    </row>
    <row r="201" spans="1:17" x14ac:dyDescent="0.25">
      <c r="A201" s="2">
        <v>-148.47032539791456</v>
      </c>
      <c r="B201" s="2">
        <v>-148.47032539791456</v>
      </c>
      <c r="D201">
        <f>Calculate[[#This Row],[Freq]]</f>
        <v>9000000000</v>
      </c>
      <c r="E201" s="2">
        <f>MIN(-90, -89-Masks[[#This Row],[f]]/(600000000*S_ch_us),-82-Masks[[#This Row],[f]]/(250000000*S_ch_us))-K_ch_UPSD_us</f>
        <v>-100.37940008672038</v>
      </c>
      <c r="F201" s="2">
        <f>MIN(-90, -89-Masks[[#This Row],[f]]/(600000000*S_ch_ds),-82-Masks[[#This Row],[f]]/(250000000*S_ch_ds))-K_ch_UPSD_ds</f>
        <v>-100.37940008672038</v>
      </c>
      <c r="G201">
        <f>-MAX(MIN(20,20-10*LOG10(2*Masks[[#This Row],[f]]/480000000)),12-3)</f>
        <v>-9</v>
      </c>
      <c r="H201">
        <f>-MAX(MIN(20,20-10*LOG10(2*Masks[[#This Row],[f]]/480000000)),12-3)</f>
        <v>-9</v>
      </c>
      <c r="I201">
        <f>10*LOG10(POWER(10,Tx_power_us/10)/F_Nyquist_us)+IF(Masks[[#This Row],[f]]&gt;F_Nyquist_us,-50)</f>
        <v>-148.47032539791456</v>
      </c>
      <c r="J201" s="3">
        <f>10*LOG10(POWER(10,Tx_power_ds/10)/F_Nyquist_ds)+IF(Masks[[#This Row],[f]]&gt;F_Nyquist_ds,-50)</f>
        <v>-148.47032539791456</v>
      </c>
      <c r="K201" s="3">
        <f>IF(Masks[[#This Row],[f]]&gt;F_Nyquist_us,0,1)</f>
        <v>0</v>
      </c>
      <c r="L201" s="3">
        <f>IF(Masks[[#This Row],[f]]&gt;F_Nyquist_ds,0,1)</f>
        <v>0</v>
      </c>
      <c r="M201" s="3">
        <f>Config!B$7</f>
        <v>-40</v>
      </c>
      <c r="N201" s="3">
        <f>IF(Config!B$8&gt;0,10*LOG10($T$1*Masks[[#This Row],[f]]+Config!B$8*0.00073),-1000)</f>
        <v>-8.070981738904349</v>
      </c>
      <c r="O201" s="3">
        <f>10*LOG10((10^(Masks[[#This Row],[wire_echo]]/10))+(10^(Masks[[#This Row],[connector_echo]]/10)))</f>
        <v>-8.0681972643465478</v>
      </c>
      <c r="P201" s="65"/>
      <c r="Q201" s="65"/>
    </row>
  </sheetData>
  <sheetProtection algorithmName="SHA-512" hashValue="H8yVCWegMPNy4cJftPLS+i/8i69qozuvMCq8zR5/Z0bEoH1EEh5OeEDnatfndy7qoBnPnRttAeK8m17fkTuoTg==" saltValue="KhQE0MqElZujay8zzaihJQ==" spinCount="100000" sheet="1" objects="1" scenarios="1" insertColumns="0"/>
  <mergeCells count="2">
    <mergeCell ref="S3:T3"/>
    <mergeCell ref="V1:X1"/>
  </mergeCells>
  <conditionalFormatting sqref="P1:Q201">
    <cfRule type="expression" dxfId="3" priority="1">
      <formula>ISODD(ROW())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B789-2574-4F37-ADE1-030E34E28A47}">
  <dimension ref="A1:U201"/>
  <sheetViews>
    <sheetView workbookViewId="0">
      <selection activeCell="M19" sqref="M19"/>
    </sheetView>
  </sheetViews>
  <sheetFormatPr defaultRowHeight="15" x14ac:dyDescent="0.25"/>
  <cols>
    <col min="4" max="9" width="19.5703125" customWidth="1"/>
    <col min="10" max="11" width="19.5703125" style="63" customWidth="1"/>
    <col min="12" max="12" width="19.5703125" customWidth="1"/>
    <col min="13" max="14" width="11" customWidth="1"/>
    <col min="15" max="15" width="33.28515625" style="63" customWidth="1"/>
    <col min="16" max="16" width="28" style="63" customWidth="1"/>
    <col min="17" max="21" width="20.5703125" style="63" customWidth="1"/>
  </cols>
  <sheetData>
    <row r="1" spans="1:21" x14ac:dyDescent="0.25">
      <c r="A1" t="s">
        <v>3</v>
      </c>
      <c r="B1" t="str" cm="1">
        <f t="array" ref="B1:B201">INDEX(Channels_IL[#All],,MATCH(cable_model,Channels_IL[#Headers],0))</f>
        <v>mueller_3cy_01_12_01_20_sdp</v>
      </c>
      <c r="D1" t="s">
        <v>77</v>
      </c>
      <c r="E1" s="63" t="s">
        <v>95</v>
      </c>
      <c r="F1" s="63" t="s">
        <v>98</v>
      </c>
      <c r="G1" s="63" t="s">
        <v>97</v>
      </c>
      <c r="H1" s="63" t="s">
        <v>145</v>
      </c>
      <c r="I1" s="63" t="s">
        <v>151</v>
      </c>
      <c r="J1" s="64" t="s">
        <v>135</v>
      </c>
      <c r="K1" s="64" t="s">
        <v>136</v>
      </c>
      <c r="M1" t="s">
        <v>76</v>
      </c>
      <c r="N1" t="s">
        <v>77</v>
      </c>
      <c r="O1" s="63" t="s">
        <v>95</v>
      </c>
      <c r="P1" s="63" t="s">
        <v>98</v>
      </c>
      <c r="Q1" s="63" t="s">
        <v>97</v>
      </c>
      <c r="R1" t="s">
        <v>145</v>
      </c>
      <c r="S1" t="s">
        <v>151</v>
      </c>
      <c r="T1" s="64" t="s">
        <v>135</v>
      </c>
      <c r="U1" s="64" t="s">
        <v>136</v>
      </c>
    </row>
    <row r="2" spans="1:21" x14ac:dyDescent="0.25">
      <c r="A2" s="1">
        <f>Calculate[[#This Row],[Freq]]</f>
        <v>45000000</v>
      </c>
      <c r="B2">
        <v>-0.14624182703253655</v>
      </c>
      <c r="D2" s="1">
        <f t="shared" ref="D2:D33" si="0">N$3*(((1+N$5*(T-20))*$A2)^N$4) + N$2*$A2</f>
        <v>-0.25739884891957698</v>
      </c>
      <c r="E2" s="1">
        <f t="shared" ref="E2:E33" si="1">O$3*(((1+O$5*(T-20))*$A2)^O$4) + O$2*$A2</f>
        <v>-0.19976380129747315</v>
      </c>
      <c r="F2" s="1">
        <f t="shared" ref="F2:F33" si="2">P$3*(((1+P$5*(T-20))*$A2)^P$4) + P$2*$A2</f>
        <v>-0.15895481023723423</v>
      </c>
      <c r="G2" s="1">
        <f t="shared" ref="G2:G33" si="3">Q$3*(((1+Q$5*(T-20))*$A2)^Q$4) + Q$2*$A2</f>
        <v>-0.15800337421213545</v>
      </c>
      <c r="H2" s="1">
        <f t="shared" ref="H2:I33" si="4">R$3*(((1+R$5*(T-20))*$A2)^R$4) + R$2*$A2</f>
        <v>-0.23025338745683474</v>
      </c>
      <c r="I2" s="1">
        <f>S$3*(((1+S$5*(T-20))*$A2)^S$4) + S$2*$A2</f>
        <v>-0.14624182703253655</v>
      </c>
      <c r="J2" s="66"/>
      <c r="K2" s="66"/>
      <c r="L2" s="1"/>
      <c r="M2" t="s">
        <v>1</v>
      </c>
      <c r="N2">
        <f>-0.002/15*0.000001</f>
        <v>-1.3333333333333334E-10</v>
      </c>
      <c r="O2" s="63">
        <v>-8.8313398028486562E-11</v>
      </c>
      <c r="P2" s="63">
        <v>-1.2353665436395793E-10</v>
      </c>
      <c r="Q2" s="63">
        <v>-2.0677835206542268E-10</v>
      </c>
      <c r="R2">
        <f>-0.002/2.5/11*0.000001</f>
        <v>-7.2727272727272723E-11</v>
      </c>
      <c r="S2">
        <v>-9.2185958079566606E-11</v>
      </c>
      <c r="T2" s="64"/>
      <c r="U2" s="64"/>
    </row>
    <row r="3" spans="1:21" x14ac:dyDescent="0.25">
      <c r="A3" s="1">
        <f>Calculate[[#This Row],[Freq]]</f>
        <v>90000000</v>
      </c>
      <c r="B3">
        <v>-0.20924723295485284</v>
      </c>
      <c r="D3" s="1">
        <f t="shared" si="0"/>
        <v>-0.35542094812585834</v>
      </c>
      <c r="E3" s="1">
        <f t="shared" si="1"/>
        <v>-0.28483665265325314</v>
      </c>
      <c r="F3" s="1">
        <f t="shared" si="2"/>
        <v>-0.22805252279236773</v>
      </c>
      <c r="G3" s="1">
        <f t="shared" si="3"/>
        <v>-0.22890127265207777</v>
      </c>
      <c r="H3" s="1">
        <f t="shared" si="4"/>
        <v>-0.31661017386163481</v>
      </c>
      <c r="I3" s="1">
        <f>S$3*(((1+S$5*(T-20))*$A3)^S$4) + S$2*$A3</f>
        <v>-0.20924723295485284</v>
      </c>
      <c r="J3" s="66"/>
      <c r="K3" s="66"/>
      <c r="L3" s="1"/>
      <c r="M3" t="s">
        <v>2</v>
      </c>
      <c r="N3">
        <f>-0.68/15*(0.000001^0.45)</f>
        <v>-9.0451891611922563E-5</v>
      </c>
      <c r="O3" s="63">
        <v>-2.9186604992380301E-5</v>
      </c>
      <c r="P3" s="63">
        <v>-2.2866874998790228E-5</v>
      </c>
      <c r="Q3" s="63">
        <v>-2.2166641006363804E-5</v>
      </c>
      <c r="R3">
        <f>-0.68/11/(2.5^0.45)*(0.000001^0.45)</f>
        <v>-8.1666364667975748E-5</v>
      </c>
      <c r="S3">
        <v>-2.1182042220057299E-5</v>
      </c>
      <c r="T3" s="64"/>
      <c r="U3" s="64"/>
    </row>
    <row r="4" spans="1:21" x14ac:dyDescent="0.25">
      <c r="A4" s="1">
        <f>Calculate[[#This Row],[Freq]]</f>
        <v>135000000</v>
      </c>
      <c r="B4">
        <v>-0.25855819461157437</v>
      </c>
      <c r="D4" s="1">
        <f t="shared" si="0"/>
        <v>-0.43016190578662056</v>
      </c>
      <c r="E4" s="1">
        <f t="shared" si="1"/>
        <v>-0.35104001393731515</v>
      </c>
      <c r="F4" s="1">
        <f t="shared" si="2"/>
        <v>-0.28236652648949817</v>
      </c>
      <c r="G4" s="1">
        <f t="shared" si="3"/>
        <v>-0.28546817190584833</v>
      </c>
      <c r="H4" s="1">
        <f t="shared" si="4"/>
        <v>-0.38194709919486702</v>
      </c>
      <c r="I4" s="1">
        <f>S$3*(((1+S$5*(T-20))*$A4)^S$4) + S$2*$A4</f>
        <v>-0.25855819461157437</v>
      </c>
      <c r="J4" s="66"/>
      <c r="K4" s="66"/>
      <c r="L4" s="1"/>
      <c r="M4" t="s">
        <v>96</v>
      </c>
      <c r="N4" s="3">
        <v>0.45</v>
      </c>
      <c r="O4" s="63">
        <v>0.5</v>
      </c>
      <c r="P4" s="63">
        <v>0.5</v>
      </c>
      <c r="Q4" s="63">
        <v>0.5</v>
      </c>
      <c r="R4">
        <v>0.45</v>
      </c>
      <c r="S4">
        <v>0.5</v>
      </c>
      <c r="T4" s="64"/>
      <c r="U4" s="64"/>
    </row>
    <row r="5" spans="1:21" x14ac:dyDescent="0.25">
      <c r="A5" s="1">
        <f>Calculate[[#This Row],[Freq]]</f>
        <v>180000000</v>
      </c>
      <c r="B5">
        <v>-0.30078039029223408</v>
      </c>
      <c r="D5" s="1">
        <f t="shared" si="0"/>
        <v>-0.49312684015268571</v>
      </c>
      <c r="E5" s="1">
        <f t="shared" si="1"/>
        <v>-0.40747580841751008</v>
      </c>
      <c r="F5" s="1">
        <f t="shared" si="2"/>
        <v>-0.32902791936722464</v>
      </c>
      <c r="G5" s="1">
        <f t="shared" si="3"/>
        <v>-0.33461680011015893</v>
      </c>
      <c r="H5" s="1">
        <f t="shared" si="4"/>
        <v>-0.43665179787606373</v>
      </c>
      <c r="I5" s="1">
        <f>S$3*(((1+S$5*(T-20))*$A5)^S$4) + S$2*$A5</f>
        <v>-0.30078039029223408</v>
      </c>
      <c r="J5" s="66"/>
      <c r="K5" s="66"/>
      <c r="L5" s="1"/>
      <c r="M5" t="s">
        <v>144</v>
      </c>
      <c r="N5" s="3">
        <v>0</v>
      </c>
      <c r="O5" s="63">
        <v>4.0000000000000001E-3</v>
      </c>
      <c r="P5" s="63">
        <v>4.0000000000000001E-3</v>
      </c>
      <c r="Q5" s="63">
        <v>4.0000000000000001E-3</v>
      </c>
      <c r="R5">
        <v>0</v>
      </c>
      <c r="S5">
        <v>4.0000000000000001E-3</v>
      </c>
      <c r="T5" s="64"/>
      <c r="U5" s="64"/>
    </row>
    <row r="6" spans="1:21" x14ac:dyDescent="0.25">
      <c r="A6" s="1">
        <f>Calculate[[#This Row],[Freq]]</f>
        <v>225000000</v>
      </c>
      <c r="B6">
        <v>-0.338472473868762</v>
      </c>
      <c r="D6" s="1">
        <f t="shared" si="0"/>
        <v>-0.54868033993221998</v>
      </c>
      <c r="E6" s="1">
        <f t="shared" si="1"/>
        <v>-0.457669589442114</v>
      </c>
      <c r="F6" s="1">
        <f t="shared" si="2"/>
        <v>-0.37079887221374397</v>
      </c>
      <c r="G6" s="1">
        <f t="shared" si="3"/>
        <v>-0.37902474431017719</v>
      </c>
      <c r="H6" s="1">
        <f t="shared" si="4"/>
        <v>-0.48466492926253407</v>
      </c>
      <c r="I6" s="1">
        <f>S$3*(((1+S$5*(T-20))*$A6)^S$4) + S$2*$A6</f>
        <v>-0.338472473868762</v>
      </c>
      <c r="J6" s="66"/>
      <c r="K6" s="66"/>
      <c r="L6" s="1"/>
    </row>
    <row r="7" spans="1:21" x14ac:dyDescent="0.25">
      <c r="A7" s="1">
        <f>Calculate[[#This Row],[Freq]]</f>
        <v>270000000</v>
      </c>
      <c r="B7">
        <v>-0.37294667882004873</v>
      </c>
      <c r="D7" s="1">
        <f t="shared" si="0"/>
        <v>-0.59902975560513638</v>
      </c>
      <c r="E7" s="1">
        <f t="shared" si="1"/>
        <v>-0.503429475407279</v>
      </c>
      <c r="F7" s="1">
        <f t="shared" si="2"/>
        <v>-0.40909599437291838</v>
      </c>
      <c r="G7" s="1">
        <f t="shared" si="3"/>
        <v>-0.42006523415679825</v>
      </c>
      <c r="H7" s="1">
        <f t="shared" si="4"/>
        <v>-0.52797944547534614</v>
      </c>
      <c r="I7" s="1">
        <f>S$3*(((1+S$5*(T-20))*$A7)^S$4) + S$2*$A7</f>
        <v>-0.37294667882004873</v>
      </c>
      <c r="J7" s="66"/>
      <c r="K7" s="66"/>
      <c r="L7" s="1"/>
    </row>
    <row r="8" spans="1:21" x14ac:dyDescent="0.25">
      <c r="A8" s="1">
        <f>Calculate[[#This Row],[Freq]]</f>
        <v>315000000</v>
      </c>
      <c r="B8">
        <v>-0.40498253202359402</v>
      </c>
      <c r="D8" s="1">
        <f t="shared" si="0"/>
        <v>-0.64547238688687869</v>
      </c>
      <c r="E8" s="1">
        <f t="shared" si="1"/>
        <v>-0.5458295715771796</v>
      </c>
      <c r="F8" s="1">
        <f t="shared" si="2"/>
        <v>-0.44476081677367357</v>
      </c>
      <c r="G8" s="1">
        <f t="shared" si="3"/>
        <v>-0.45855403105153564</v>
      </c>
      <c r="H8" s="1">
        <f t="shared" si="4"/>
        <v>-0.5677666404449756</v>
      </c>
      <c r="I8" s="1">
        <f>S$3*(((1+S$5*(T-20))*$A8)^S$4) + S$2*$A8</f>
        <v>-0.40498253202359402</v>
      </c>
      <c r="J8" s="66"/>
      <c r="K8" s="66"/>
      <c r="L8" s="1"/>
    </row>
    <row r="9" spans="1:21" x14ac:dyDescent="0.25">
      <c r="A9" s="1">
        <f>Calculate[[#This Row],[Freq]]</f>
        <v>360000000</v>
      </c>
      <c r="B9">
        <v>-0.4350879383640277</v>
      </c>
      <c r="D9" s="1">
        <f t="shared" si="0"/>
        <v>-0.68884614917255227</v>
      </c>
      <c r="E9" s="1">
        <f t="shared" si="1"/>
        <v>-0.58556971695163385</v>
      </c>
      <c r="F9" s="1">
        <f t="shared" si="2"/>
        <v>-0.47834164337024793</v>
      </c>
      <c r="G9" s="1">
        <f t="shared" si="3"/>
        <v>-0.49502264867593165</v>
      </c>
      <c r="H9" s="1">
        <f t="shared" si="4"/>
        <v>-0.60478304344901013</v>
      </c>
      <c r="I9" s="1">
        <f>S$3*(((1+S$5*(T-20))*$A9)^S$4) + S$2*$A9</f>
        <v>-0.4350879383640277</v>
      </c>
      <c r="J9" s="66"/>
      <c r="K9" s="66"/>
      <c r="L9" s="1"/>
    </row>
    <row r="10" spans="1:21" x14ac:dyDescent="0.25">
      <c r="A10" s="1">
        <f>Calculate[[#This Row],[Freq]]</f>
        <v>405000000</v>
      </c>
      <c r="B10">
        <v>-0.46361568977909257</v>
      </c>
      <c r="D10" s="1">
        <f t="shared" si="0"/>
        <v>-0.72972877645117351</v>
      </c>
      <c r="E10" s="1">
        <f t="shared" si="1"/>
        <v>-0.62313602136011081</v>
      </c>
      <c r="F10" s="1">
        <f t="shared" si="2"/>
        <v>-0.51021932738997133</v>
      </c>
      <c r="G10" s="1">
        <f t="shared" si="3"/>
        <v>-0.52984027769407049</v>
      </c>
      <c r="H10" s="1">
        <f t="shared" si="4"/>
        <v>-0.63955027359112193</v>
      </c>
      <c r="I10" s="1">
        <f>S$3*(((1+S$5*(T-20))*$A10)^S$4) + S$2*$A10</f>
        <v>-0.46361568977909257</v>
      </c>
      <c r="J10" s="66"/>
      <c r="K10" s="66"/>
      <c r="L10" s="1"/>
    </row>
    <row r="11" spans="1:21" x14ac:dyDescent="0.25">
      <c r="A11" s="1">
        <f>Calculate[[#This Row],[Freq]]</f>
        <v>450000000</v>
      </c>
      <c r="B11">
        <v>-0.490822651931273</v>
      </c>
      <c r="D11" s="1">
        <f t="shared" si="0"/>
        <v>-0.76853822473446587</v>
      </c>
      <c r="E11" s="1">
        <f t="shared" si="1"/>
        <v>-0.65888241841057649</v>
      </c>
      <c r="F11" s="1">
        <f t="shared" si="2"/>
        <v>-0.54067116574947194</v>
      </c>
      <c r="G11" s="1">
        <f t="shared" si="3"/>
        <v>-0.56327572358126943</v>
      </c>
      <c r="H11" s="1">
        <f t="shared" si="4"/>
        <v>-0.67244569111729735</v>
      </c>
      <c r="I11" s="1">
        <f>S$3*(((1+S$5*(T-20))*$A11)^S$4) + S$2*$A11</f>
        <v>-0.490822651931273</v>
      </c>
      <c r="J11" s="66"/>
      <c r="K11" s="66"/>
      <c r="L11" s="1"/>
    </row>
    <row r="12" spans="1:21" x14ac:dyDescent="0.25">
      <c r="A12" s="1">
        <f>Calculate[[#This Row],[Freq]]</f>
        <v>495000000</v>
      </c>
      <c r="B12">
        <v>-0.51690273764734174</v>
      </c>
      <c r="D12" s="1">
        <f t="shared" si="0"/>
        <v>-0.80558823358336684</v>
      </c>
      <c r="E12" s="1">
        <f t="shared" si="1"/>
        <v>-0.69307609938794945</v>
      </c>
      <c r="F12" s="1">
        <f t="shared" si="2"/>
        <v>-0.56990649522206049</v>
      </c>
      <c r="G12" s="1">
        <f t="shared" si="3"/>
        <v>-0.595531912758548</v>
      </c>
      <c r="H12" s="1">
        <f t="shared" si="4"/>
        <v>-0.70375256229137773</v>
      </c>
      <c r="I12" s="1">
        <f>S$3*(((1+S$5*(T-20))*$A12)^S$4) + S$2*$A12</f>
        <v>-0.51690273764734174</v>
      </c>
      <c r="J12" s="66"/>
      <c r="K12" s="66"/>
      <c r="L12" s="1"/>
    </row>
    <row r="13" spans="1:21" x14ac:dyDescent="0.25">
      <c r="A13" s="1">
        <f>Calculate[[#This Row],[Freq]]</f>
        <v>540000000</v>
      </c>
      <c r="B13">
        <v>-0.54200659790463179</v>
      </c>
      <c r="D13" s="1">
        <f t="shared" si="0"/>
        <v>-0.8411213119072054</v>
      </c>
      <c r="E13" s="1">
        <f t="shared" si="1"/>
        <v>-0.7259246453423216</v>
      </c>
      <c r="F13" s="1">
        <f t="shared" si="2"/>
        <v>-0.59808794965726497</v>
      </c>
      <c r="G13" s="1">
        <f t="shared" si="3"/>
        <v>-0.62676649886936087</v>
      </c>
      <c r="H13" s="1">
        <f t="shared" si="4"/>
        <v>-0.73368984130737191</v>
      </c>
      <c r="I13" s="1">
        <f>S$3*(((1+S$5*(T-20))*$A13)^S$4) + S$2*$A13</f>
        <v>-0.54200659790463179</v>
      </c>
      <c r="J13" s="66"/>
      <c r="K13" s="66"/>
      <c r="L13" s="1"/>
    </row>
    <row r="14" spans="1:21" x14ac:dyDescent="0.25">
      <c r="A14" s="1">
        <f>Calculate[[#This Row],[Freq]]</f>
        <v>585000000</v>
      </c>
      <c r="B14">
        <v>-0.56625403751687831</v>
      </c>
      <c r="D14" s="1">
        <f t="shared" si="0"/>
        <v>-0.87532942794033775</v>
      </c>
      <c r="E14" s="1">
        <f t="shared" si="1"/>
        <v>-0.75759313458570632</v>
      </c>
      <c r="F14" s="1">
        <f t="shared" si="2"/>
        <v>-0.62534486321802807</v>
      </c>
      <c r="G14" s="1">
        <f t="shared" si="3"/>
        <v>-0.65710485558019915</v>
      </c>
      <c r="H14" s="1">
        <f t="shared" si="4"/>
        <v>-0.76243085066359662</v>
      </c>
      <c r="I14" s="1">
        <f>S$3*(((1+S$5*(T-20))*$A14)^S$4) + S$2*$A14</f>
        <v>-0.56625403751687831</v>
      </c>
      <c r="J14" s="66"/>
      <c r="K14" s="66"/>
      <c r="L14" s="1"/>
    </row>
    <row r="15" spans="1:21" x14ac:dyDescent="0.25">
      <c r="A15" s="1">
        <f>Calculate[[#This Row],[Freq]]</f>
        <v>630000000</v>
      </c>
      <c r="B15">
        <v>-0.5897421937664985</v>
      </c>
      <c r="D15" s="1">
        <f t="shared" si="0"/>
        <v>-0.90836757432714144</v>
      </c>
      <c r="E15" s="1">
        <f t="shared" si="1"/>
        <v>-0.78821541197888112</v>
      </c>
      <c r="F15" s="1">
        <f t="shared" si="2"/>
        <v>-0.65178209954647015</v>
      </c>
      <c r="G15" s="1">
        <f t="shared" si="3"/>
        <v>-0.68664863537788634</v>
      </c>
      <c r="H15" s="1">
        <f t="shared" si="4"/>
        <v>-0.79011552868075419</v>
      </c>
      <c r="I15" s="1">
        <f>S$3*(((1+S$5*(T-20))*$A15)^S$4) + S$2*$A15</f>
        <v>-0.5897421937664985</v>
      </c>
      <c r="J15" s="66"/>
      <c r="K15" s="66"/>
      <c r="L15" s="1"/>
    </row>
    <row r="16" spans="1:21" x14ac:dyDescent="0.25">
      <c r="A16" s="1">
        <f>Calculate[[#This Row],[Freq]]</f>
        <v>675000000</v>
      </c>
      <c r="B16">
        <v>-0.61255112170183201</v>
      </c>
      <c r="D16" s="1">
        <f t="shared" si="0"/>
        <v>-0.94036299219056818</v>
      </c>
      <c r="E16" s="1">
        <f t="shared" si="1"/>
        <v>-0.81790178487792031</v>
      </c>
      <c r="F16" s="1">
        <f t="shared" si="2"/>
        <v>-0.67748608131913934</v>
      </c>
      <c r="G16" s="1">
        <f t="shared" si="3"/>
        <v>-0.71548161448658765</v>
      </c>
      <c r="H16" s="1">
        <f t="shared" si="4"/>
        <v>-0.81685875764336757</v>
      </c>
      <c r="I16" s="1">
        <f>S$3*(((1+S$5*(T-20))*$A16)^S$4) + S$2*$A16</f>
        <v>-0.61255112170183201</v>
      </c>
      <c r="J16" s="66"/>
      <c r="K16" s="66"/>
      <c r="L16" s="1"/>
    </row>
    <row r="17" spans="1:12" x14ac:dyDescent="0.25">
      <c r="A17" s="1">
        <f>Calculate[[#This Row],[Freq]]</f>
        <v>720000000</v>
      </c>
      <c r="B17">
        <v>-0.6347477254931122</v>
      </c>
      <c r="D17" s="1">
        <f t="shared" si="0"/>
        <v>-0.9714216381557409</v>
      </c>
      <c r="E17" s="1">
        <f t="shared" si="1"/>
        <v>-0.84674444012527539</v>
      </c>
      <c r="F17" s="1">
        <f t="shared" si="2"/>
        <v>-0.7025290343054742</v>
      </c>
      <c r="G17" s="1">
        <f t="shared" si="3"/>
        <v>-0.74367380696387009</v>
      </c>
      <c r="H17" s="1">
        <f t="shared" si="4"/>
        <v>-0.8427562026860409</v>
      </c>
      <c r="I17" s="1">
        <f>S$3*(((1+S$5*(T-20))*$A17)^S$4) + S$2*$A17</f>
        <v>-0.6347477254931122</v>
      </c>
      <c r="J17" s="66"/>
      <c r="K17" s="66"/>
      <c r="L17" s="1"/>
    </row>
    <row r="18" spans="1:12" x14ac:dyDescent="0.25">
      <c r="A18" s="1">
        <f>Calculate[[#This Row],[Freq]]</f>
        <v>765000000</v>
      </c>
      <c r="B18">
        <v>-0.656388597763088</v>
      </c>
      <c r="D18" s="1">
        <f t="shared" si="0"/>
        <v>-1.0016328379826944</v>
      </c>
      <c r="E18" s="1">
        <f t="shared" si="1"/>
        <v>-0.87482135634588243</v>
      </c>
      <c r="F18" s="1">
        <f t="shared" si="2"/>
        <v>-0.72697205254054509</v>
      </c>
      <c r="G18" s="1">
        <f t="shared" si="3"/>
        <v>-0.77128443601111629</v>
      </c>
      <c r="H18" s="1">
        <f t="shared" si="4"/>
        <v>-0.86788851342221218</v>
      </c>
      <c r="I18" s="1">
        <f>S$3*(((1+S$5*(T-20))*$A18)^S$4) + S$2*$A18</f>
        <v>-0.656388597763088</v>
      </c>
      <c r="J18" s="66"/>
      <c r="K18" s="66"/>
      <c r="L18" s="1"/>
    </row>
    <row r="19" spans="1:12" x14ac:dyDescent="0.25">
      <c r="A19" s="1">
        <f>Calculate[[#This Row],[Freq]]</f>
        <v>810000000</v>
      </c>
      <c r="B19">
        <v>-0.67752211622752445</v>
      </c>
      <c r="D19" s="1">
        <f t="shared" si="0"/>
        <v>-1.0310727112796949</v>
      </c>
      <c r="E19" s="1">
        <f t="shared" si="1"/>
        <v>-0.90219919289514205</v>
      </c>
      <c r="F19" s="1">
        <f t="shared" si="2"/>
        <v>-0.75086736173364044</v>
      </c>
      <c r="G19" s="1">
        <f t="shared" si="3"/>
        <v>-0.79836412807156154</v>
      </c>
      <c r="H19" s="1">
        <f t="shared" si="4"/>
        <v>-0.8923244160175402</v>
      </c>
      <c r="I19" s="1">
        <f>S$3*(((1+S$5*(T-20))*$A19)^S$4) + S$2*$A19</f>
        <v>-0.67752211622752445</v>
      </c>
      <c r="J19" s="66"/>
      <c r="K19" s="66"/>
      <c r="L19" s="1"/>
    </row>
    <row r="20" spans="1:12" x14ac:dyDescent="0.25">
      <c r="A20" s="1">
        <f>Calculate[[#This Row],[Freq]]</f>
        <v>855000000</v>
      </c>
      <c r="B20">
        <v>-0.69819002212390702</v>
      </c>
      <c r="D20" s="1">
        <f t="shared" si="0"/>
        <v>-1.0598067415726562</v>
      </c>
      <c r="E20" s="1">
        <f t="shared" si="1"/>
        <v>-0.92893546476607214</v>
      </c>
      <c r="F20" s="1">
        <f t="shared" si="2"/>
        <v>-0.77426002324617027</v>
      </c>
      <c r="G20" s="1">
        <f t="shared" si="3"/>
        <v>-0.82495656462864797</v>
      </c>
      <c r="H20" s="1">
        <f t="shared" si="4"/>
        <v>-0.91612303363033265</v>
      </c>
      <c r="I20" s="1">
        <f>S$3*(((1+S$5*(T-20))*$A20)^S$4) + S$2*$A20</f>
        <v>-0.69819002212390702</v>
      </c>
      <c r="J20" s="66"/>
      <c r="K20" s="66"/>
      <c r="L20" s="1"/>
    </row>
    <row r="21" spans="1:12" x14ac:dyDescent="0.25">
      <c r="A21" s="1">
        <f>Calculate[[#This Row],[Freq]]</f>
        <v>900000000</v>
      </c>
      <c r="B21">
        <v>-0.71842862887332892</v>
      </c>
      <c r="D21" s="1">
        <f t="shared" si="0"/>
        <v>-1.0878917384365756</v>
      </c>
      <c r="E21" s="1">
        <f t="shared" si="1"/>
        <v>-0.95508020799704696</v>
      </c>
      <c r="F21" s="1">
        <f t="shared" si="2"/>
        <v>-0.79718923889126903</v>
      </c>
      <c r="G21" s="1">
        <f t="shared" si="3"/>
        <v>-0.85109974704979452</v>
      </c>
      <c r="H21" s="1">
        <f t="shared" si="4"/>
        <v>-0.93933565796257268</v>
      </c>
      <c r="I21" s="1">
        <f>S$3*(((1+S$5*(T-20))*$A21)^S$4) + S$2*$A21</f>
        <v>-0.71842862887332892</v>
      </c>
      <c r="J21" s="66"/>
      <c r="K21" s="66"/>
      <c r="L21" s="1"/>
    </row>
    <row r="22" spans="1:12" x14ac:dyDescent="0.25">
      <c r="A22" s="1">
        <f>Calculate[[#This Row],[Freq]]</f>
        <v>945000000</v>
      </c>
      <c r="B22">
        <v>-0.7382697616394045</v>
      </c>
      <c r="D22" s="1">
        <f t="shared" si="0"/>
        <v>-1.115377358479736</v>
      </c>
      <c r="E22" s="1">
        <f t="shared" si="1"/>
        <v>-0.98067727428421447</v>
      </c>
      <c r="F22" s="1">
        <f t="shared" si="2"/>
        <v>-0.81968936522580793</v>
      </c>
      <c r="G22" s="1">
        <f t="shared" si="3"/>
        <v>-0.87682697981855751</v>
      </c>
      <c r="H22" s="1">
        <f t="shared" si="4"/>
        <v>-0.96200712251202281</v>
      </c>
      <c r="I22" s="1">
        <f>S$3*(((1+S$5*(T-20))*$A22)^S$4) + S$2*$A22</f>
        <v>-0.7382697616394045</v>
      </c>
      <c r="J22" s="66"/>
      <c r="K22" s="66"/>
      <c r="L22" s="1"/>
    </row>
    <row r="23" spans="1:12" x14ac:dyDescent="0.25">
      <c r="A23" s="1">
        <f>Calculate[[#This Row],[Freq]]</f>
        <v>990000000</v>
      </c>
      <c r="B23">
        <v>-0.75774149758006537</v>
      </c>
      <c r="D23" s="1">
        <f t="shared" si="0"/>
        <v>-1.1423073004967548</v>
      </c>
      <c r="E23" s="1">
        <f t="shared" si="1"/>
        <v>-1.005765350969869</v>
      </c>
      <c r="F23" s="1">
        <f t="shared" si="2"/>
        <v>-0.84179071268227879</v>
      </c>
      <c r="G23" s="1">
        <f t="shared" si="3"/>
        <v>-0.90216764519533854</v>
      </c>
      <c r="H23" s="1">
        <f t="shared" si="4"/>
        <v>-0.9841768816409211</v>
      </c>
      <c r="I23" s="1">
        <f>S$3*(((1+S$5*(T-20))*$A23)^S$4) + S$2*$A23</f>
        <v>-0.75774149758006537</v>
      </c>
      <c r="J23" s="66"/>
      <c r="K23" s="66"/>
      <c r="L23" s="1"/>
    </row>
    <row r="24" spans="1:12" x14ac:dyDescent="0.25">
      <c r="A24" s="1">
        <f>Calculate[[#This Row],[Freq]]</f>
        <v>1035000000</v>
      </c>
      <c r="B24">
        <v>-0.77686875615242179</v>
      </c>
      <c r="D24" s="1">
        <f t="shared" si="0"/>
        <v>-1.1687202561235108</v>
      </c>
      <c r="E24" s="1">
        <f t="shared" si="1"/>
        <v>-1.0303787744198691</v>
      </c>
      <c r="F24" s="1">
        <f t="shared" si="2"/>
        <v>-0.86352018282686915</v>
      </c>
      <c r="G24" s="1">
        <f t="shared" si="3"/>
        <v>-0.92714782096121728</v>
      </c>
      <c r="H24" s="1">
        <f t="shared" si="4"/>
        <v>-1.0058798688944814</v>
      </c>
      <c r="I24" s="1">
        <f>S$3*(((1+S$5*(T-20))*$A24)^S$4) + S$2*$A24</f>
        <v>-0.77686875615242179</v>
      </c>
      <c r="J24" s="66"/>
      <c r="K24" s="66"/>
      <c r="L24" s="1"/>
    </row>
    <row r="25" spans="1:12" x14ac:dyDescent="0.25">
      <c r="A25" s="1">
        <f>Calculate[[#This Row],[Freq]]</f>
        <v>1080000000</v>
      </c>
      <c r="B25">
        <v>-0.79567377500306335</v>
      </c>
      <c r="D25" s="1">
        <f t="shared" si="0"/>
        <v>-1.1946506743929968</v>
      </c>
      <c r="E25" s="1">
        <f t="shared" si="1"/>
        <v>-1.0545481857499408</v>
      </c>
      <c r="F25" s="1">
        <f t="shared" si="2"/>
        <v>-0.88490178210237413</v>
      </c>
      <c r="G25" s="1">
        <f t="shared" si="3"/>
        <v>-0.95179077842892468</v>
      </c>
      <c r="H25" s="1">
        <f t="shared" si="4"/>
        <v>-1.0271471872959874</v>
      </c>
      <c r="I25" s="1">
        <f>S$3*(((1+S$5*(T-20))*$A25)^S$4) + S$2*$A25</f>
        <v>-0.79567377500306335</v>
      </c>
      <c r="J25" s="66"/>
      <c r="K25" s="66"/>
      <c r="L25" s="1"/>
    </row>
    <row r="26" spans="1:12" x14ac:dyDescent="0.25">
      <c r="A26" s="1">
        <f>Calculate[[#This Row],[Freq]]</f>
        <v>1125000000</v>
      </c>
      <c r="B26">
        <v>-0.81417649743429266</v>
      </c>
      <c r="D26" s="1">
        <f t="shared" si="0"/>
        <v>-1.2201293828050359</v>
      </c>
      <c r="E26" s="1">
        <f t="shared" si="1"/>
        <v>-1.0783010647130036</v>
      </c>
      <c r="F26" s="1">
        <f t="shared" si="2"/>
        <v>-0.90595704011373324</v>
      </c>
      <c r="G26" s="1">
        <f t="shared" si="3"/>
        <v>-0.97611738791955771</v>
      </c>
      <c r="H26" s="1">
        <f t="shared" si="4"/>
        <v>-1.0480066700924551</v>
      </c>
      <c r="I26" s="1">
        <f>S$3*(((1+S$5*(T-20))*$A26)^S$4) + S$2*$A26</f>
        <v>-0.81417649743429266</v>
      </c>
      <c r="J26" s="66"/>
      <c r="K26" s="66"/>
      <c r="L26" s="1"/>
    </row>
    <row r="27" spans="1:12" x14ac:dyDescent="0.25">
      <c r="A27" s="1">
        <f>Calculate[[#This Row],[Freq]]</f>
        <v>1170000000</v>
      </c>
      <c r="B27">
        <v>-0.83239489073474437</v>
      </c>
      <c r="D27" s="1">
        <f t="shared" si="0"/>
        <v>-1.2451840964614527</v>
      </c>
      <c r="E27" s="1">
        <f t="shared" si="1"/>
        <v>-1.1016621683249641</v>
      </c>
      <c r="F27" s="1">
        <f t="shared" si="2"/>
        <v>-0.92670535327886572</v>
      </c>
      <c r="G27" s="1">
        <f t="shared" si="3"/>
        <v>-1.0001464518900696</v>
      </c>
      <c r="H27" s="1">
        <f t="shared" si="4"/>
        <v>-1.0684833404378742</v>
      </c>
      <c r="I27" s="1">
        <f>S$3*(((1+S$5*(T-20))*$A27)^S$4) + S$2*$A27</f>
        <v>-0.83239489073474437</v>
      </c>
      <c r="J27" s="66"/>
      <c r="K27" s="66"/>
      <c r="L27" s="1"/>
    </row>
    <row r="28" spans="1:12" x14ac:dyDescent="0.25">
      <c r="A28" s="1">
        <f>Calculate[[#This Row],[Freq]]</f>
        <v>1215000000</v>
      </c>
      <c r="B28">
        <v>-0.85034520987917206</v>
      </c>
      <c r="D28" s="1">
        <f t="shared" si="0"/>
        <v>-1.2698398389408434</v>
      </c>
      <c r="E28" s="1">
        <f t="shared" si="1"/>
        <v>-1.1246538942150195</v>
      </c>
      <c r="F28" s="1">
        <f t="shared" si="2"/>
        <v>-0.94716426950330046</v>
      </c>
      <c r="G28" s="1">
        <f t="shared" si="3"/>
        <v>-1.0238949808905373</v>
      </c>
      <c r="H28" s="1">
        <f t="shared" si="4"/>
        <v>-1.0885997913887135</v>
      </c>
      <c r="I28" s="1">
        <f>S$3*(((1+S$5*(T-20))*$A28)^S$4) + S$2*$A28</f>
        <v>-0.85034520987917206</v>
      </c>
      <c r="J28" s="66"/>
      <c r="K28" s="66"/>
      <c r="L28" s="1"/>
    </row>
    <row r="29" spans="1:12" x14ac:dyDescent="0.25">
      <c r="A29" s="1">
        <f>Calculate[[#This Row],[Freq]]</f>
        <v>1260000000</v>
      </c>
      <c r="B29">
        <v>-0.86804221763731493</v>
      </c>
      <c r="D29" s="1">
        <f t="shared" si="0"/>
        <v>-1.294119292893845</v>
      </c>
      <c r="E29" s="1">
        <f t="shared" si="1"/>
        <v>-1.1472965839123057</v>
      </c>
      <c r="F29" s="1">
        <f t="shared" si="2"/>
        <v>-0.96734972579664058</v>
      </c>
      <c r="G29" s="1">
        <f t="shared" si="3"/>
        <v>-1.0473784239042876</v>
      </c>
      <c r="H29" s="1">
        <f t="shared" si="4"/>
        <v>-1.1083765024461263</v>
      </c>
      <c r="I29" s="1">
        <f>S$3*(((1+S$5*(T-20))*$A29)^S$4) + S$2*$A29</f>
        <v>-0.86804221763731493</v>
      </c>
      <c r="J29" s="66"/>
      <c r="K29" s="66"/>
      <c r="L29" s="1"/>
    </row>
    <row r="30" spans="1:12" x14ac:dyDescent="0.25">
      <c r="A30" s="1">
        <f>Calculate[[#This Row],[Freq]]</f>
        <v>1305000000</v>
      </c>
      <c r="B30">
        <v>-0.88549936958820885</v>
      </c>
      <c r="D30" s="1">
        <f t="shared" si="0"/>
        <v>-1.3180430941691101</v>
      </c>
      <c r="E30" s="1">
        <f t="shared" si="1"/>
        <v>-1.1696087777759712</v>
      </c>
      <c r="F30" s="1">
        <f t="shared" si="2"/>
        <v>-0.9872762480030256</v>
      </c>
      <c r="G30" s="1">
        <f t="shared" si="3"/>
        <v>-1.0706108619621726</v>
      </c>
      <c r="H30" s="1">
        <f t="shared" si="4"/>
        <v>-1.1278321051136802</v>
      </c>
      <c r="I30" s="1">
        <f>S$3*(((1+S$5*(T-20))*$A30)^S$4) + S$2*$A30</f>
        <v>-0.88549936958820885</v>
      </c>
      <c r="J30" s="66"/>
      <c r="K30" s="66"/>
      <c r="L30" s="1"/>
    </row>
    <row r="31" spans="1:12" x14ac:dyDescent="0.25">
      <c r="A31" s="1">
        <f>Calculate[[#This Row],[Freq]]</f>
        <v>1350000000</v>
      </c>
      <c r="B31">
        <v>-0.90272897064587343</v>
      </c>
      <c r="D31" s="1">
        <f t="shared" si="0"/>
        <v>-1.3416300801864403</v>
      </c>
      <c r="E31" s="1">
        <f t="shared" si="1"/>
        <v>-1.1916074306709545</v>
      </c>
      <c r="F31" s="1">
        <f t="shared" si="2"/>
        <v>-1.0069571197769696</v>
      </c>
      <c r="G31" s="1">
        <f t="shared" si="3"/>
        <v>-1.0936051719439974</v>
      </c>
      <c r="H31" s="1">
        <f t="shared" si="4"/>
        <v>-1.146983607146189</v>
      </c>
      <c r="I31" s="1">
        <f>S$3*(((1+S$5*(T-20))*$A31)^S$4) + S$2*$A31</f>
        <v>-0.90272897064587343</v>
      </c>
      <c r="J31" s="66"/>
      <c r="K31" s="66"/>
      <c r="L31" s="1"/>
    </row>
    <row r="32" spans="1:12" x14ac:dyDescent="0.25">
      <c r="A32" s="1">
        <f>Calculate[[#This Row],[Freq]]</f>
        <v>1395000000</v>
      </c>
      <c r="B32">
        <v>-0.91974230828121062</v>
      </c>
      <c r="D32" s="1">
        <f t="shared" si="0"/>
        <v>-1.3648975009525341</v>
      </c>
      <c r="E32" s="1">
        <f t="shared" si="1"/>
        <v>-1.2133080955336133</v>
      </c>
      <c r="F32" s="1">
        <f t="shared" si="2"/>
        <v>-1.0264045264018127</v>
      </c>
      <c r="G32" s="1">
        <f t="shared" si="3"/>
        <v>-1.1163731659929326</v>
      </c>
      <c r="H32" s="1">
        <f t="shared" si="4"/>
        <v>-1.1658465830696512</v>
      </c>
      <c r="I32" s="1">
        <f>S$3*(((1+S$5*(T-20))*$A32)^S$4) + S$2*$A32</f>
        <v>-0.91974230828121062</v>
      </c>
      <c r="J32" s="66"/>
      <c r="K32" s="66"/>
      <c r="L32" s="1"/>
    </row>
    <row r="33" spans="1:12" x14ac:dyDescent="0.25">
      <c r="A33" s="1">
        <f>Calculate[[#This Row],[Freq]]</f>
        <v>1440000000</v>
      </c>
      <c r="B33">
        <v>-0.93654976654534328</v>
      </c>
      <c r="D33" s="1">
        <f t="shared" si="0"/>
        <v>-1.3878611993546202</v>
      </c>
      <c r="E33" s="1">
        <f t="shared" si="1"/>
        <v>-1.2347250804837782</v>
      </c>
      <c r="F33" s="1">
        <f t="shared" si="2"/>
        <v>-1.0456296778825456</v>
      </c>
      <c r="G33" s="1">
        <f t="shared" si="3"/>
        <v>-1.1389257108389677</v>
      </c>
      <c r="H33" s="1">
        <f t="shared" si="4"/>
        <v>-1.1844353369630944</v>
      </c>
      <c r="I33" s="1">
        <f>S$3*(((1+S$5*(T-20))*$A33)^S$4) + S$2*$A33</f>
        <v>-0.93654976654534328</v>
      </c>
      <c r="J33" s="66"/>
      <c r="K33" s="66"/>
      <c r="L33" s="1"/>
    </row>
    <row r="34" spans="1:12" x14ac:dyDescent="0.25">
      <c r="A34" s="1">
        <f>Calculate[[#This Row],[Freq]]</f>
        <v>1485000000</v>
      </c>
      <c r="B34">
        <v>-0.95316092417137721</v>
      </c>
      <c r="D34" s="1">
        <f t="shared" ref="D34:D65" si="5">N$3*(((1+N$5*(T-20))*$A34)^N$4) + N$2*$A34</f>
        <v>-1.4105357660193476</v>
      </c>
      <c r="E34" s="1">
        <f t="shared" ref="E34:E65" si="6">O$3*(((1+O$5*(T-20))*$A34)^O$4) + O$2*$A34</f>
        <v>-1.2558715839985639</v>
      </c>
      <c r="F34" s="1">
        <f t="shared" ref="F34:F65" si="7">P$3*(((1+P$5*(T-20))*$A34)^P$4) + P$2*$A34</f>
        <v>-1.0646429148506478</v>
      </c>
      <c r="G34" s="1">
        <f t="shared" ref="G34:G65" si="8">Q$3*(((1+Q$5*(T-20))*$A34)^Q$4) + Q$2*$A34</f>
        <v>-1.1612728304607089</v>
      </c>
      <c r="H34" s="1">
        <f t="shared" ref="H34:H65" si="9">R$3*(((1+R$5*(T-20))*$A34)^R$4) + R$2*$A34</f>
        <v>-1.2027630422761328</v>
      </c>
      <c r="I34" s="1">
        <f>S$3*(((1+S$5*(T-20))*$A34)^S$4) + S$2*$A34</f>
        <v>-0.95316092417137721</v>
      </c>
      <c r="J34" s="66"/>
      <c r="K34" s="66"/>
      <c r="L34" s="1"/>
    </row>
    <row r="35" spans="1:12" x14ac:dyDescent="0.25">
      <c r="A35" s="1">
        <f>Calculate[[#This Row],[Freq]]</f>
        <v>1530000000</v>
      </c>
      <c r="B35">
        <v>-0.96958463939034656</v>
      </c>
      <c r="D35" s="1">
        <f t="shared" si="5"/>
        <v>-1.4329346729825658</v>
      </c>
      <c r="E35" s="1">
        <f t="shared" si="6"/>
        <v>-1.2767598117797363</v>
      </c>
      <c r="F35" s="1">
        <f t="shared" si="7"/>
        <v>-1.0834538001263452</v>
      </c>
      <c r="G35" s="1">
        <f t="shared" si="8"/>
        <v>-1.1834237948438</v>
      </c>
      <c r="H35" s="1">
        <f t="shared" si="9"/>
        <v>-1.220841862515498</v>
      </c>
      <c r="I35" s="1">
        <f>S$3*(((1+S$5*(T-20))*$A35)^S$4) + S$2*$A35</f>
        <v>-0.96958463939034656</v>
      </c>
      <c r="J35" s="66"/>
      <c r="K35" s="66"/>
      <c r="L35" s="1"/>
    </row>
    <row r="36" spans="1:12" x14ac:dyDescent="0.25">
      <c r="A36" s="1">
        <f>Calculate[[#This Row],[Freq]]</f>
        <v>1575000000</v>
      </c>
      <c r="B36">
        <v>-0.98582912359644903</v>
      </c>
      <c r="D36" s="1">
        <f t="shared" si="5"/>
        <v>-1.455070389603601</v>
      </c>
      <c r="E36" s="1">
        <f t="shared" si="6"/>
        <v>-1.2974010782565839</v>
      </c>
      <c r="F36" s="1">
        <f t="shared" si="7"/>
        <v>-1.1020711982432241</v>
      </c>
      <c r="G36" s="1">
        <f t="shared" si="8"/>
        <v>-1.2053871970703178</v>
      </c>
      <c r="H36" s="1">
        <f t="shared" si="9"/>
        <v>-1.2386830559006452</v>
      </c>
      <c r="I36" s="1">
        <f>S$3*(((1+S$5*(T-20))*$A36)^S$4) + S$2*$A36</f>
        <v>-0.98582912359644903</v>
      </c>
      <c r="J36" s="66"/>
      <c r="K36" s="66"/>
      <c r="L36" s="1"/>
    </row>
    <row r="37" spans="1:12" x14ac:dyDescent="0.25">
      <c r="A37" s="1">
        <f>Calculate[[#This Row],[Freq]]</f>
        <v>1620000000</v>
      </c>
      <c r="B37">
        <v>-1.001902005602634</v>
      </c>
      <c r="D37" s="1">
        <f t="shared" si="5"/>
        <v>-1.4769544835194912</v>
      </c>
      <c r="E37" s="1">
        <f t="shared" si="6"/>
        <v>-1.3178058951232956</v>
      </c>
      <c r="F37" s="1">
        <f t="shared" si="7"/>
        <v>-1.1205033448147486</v>
      </c>
      <c r="G37" s="1">
        <f t="shared" si="8"/>
        <v>-1.2271710205611335</v>
      </c>
      <c r="H37" s="1">
        <f t="shared" si="9"/>
        <v>-1.2562970665123765</v>
      </c>
      <c r="I37" s="1">
        <f>S$3*(((1+S$5*(T-20))*$A37)^S$4) + S$2*$A37</f>
        <v>-1.001902005602634</v>
      </c>
      <c r="J37" s="66"/>
      <c r="K37" s="66"/>
      <c r="L37" s="1"/>
    </row>
    <row r="38" spans="1:12" x14ac:dyDescent="0.25">
      <c r="A38" s="1">
        <f>Calculate[[#This Row],[Freq]]</f>
        <v>1665000000</v>
      </c>
      <c r="B38">
        <v>-1.0178103879151736</v>
      </c>
      <c r="D38" s="1">
        <f t="shared" si="5"/>
        <v>-1.498597708929563</v>
      </c>
      <c r="E38" s="1">
        <f t="shared" si="6"/>
        <v>-1.3379840488793442</v>
      </c>
      <c r="F38" s="1">
        <f t="shared" si="7"/>
        <v>-1.1387579072849452</v>
      </c>
      <c r="G38" s="1">
        <f t="shared" si="8"/>
        <v>-1.2487826979662779</v>
      </c>
      <c r="H38" s="1">
        <f t="shared" si="9"/>
        <v>-1.2736936040024005</v>
      </c>
      <c r="I38" s="1">
        <f>S$3*(((1+S$5*(T-20))*$A38)^S$4) + S$2*$A38</f>
        <v>-1.0178103879151736</v>
      </c>
      <c r="J38" s="66"/>
      <c r="K38" s="66"/>
      <c r="L38" s="1"/>
    </row>
    <row r="39" spans="1:12" x14ac:dyDescent="0.25">
      <c r="A39" s="1">
        <f>Calculate[[#This Row],[Freq]]</f>
        <v>1710000000</v>
      </c>
      <c r="B39">
        <v>-1.0335608962063685</v>
      </c>
      <c r="D39" s="1">
        <f t="shared" si="5"/>
        <v>-1.52001008409795</v>
      </c>
      <c r="E39" s="1">
        <f t="shared" si="6"/>
        <v>-1.357944668997622</v>
      </c>
      <c r="F39" s="1">
        <f t="shared" si="7"/>
        <v>-1.1568420383362006</v>
      </c>
      <c r="G39" s="1">
        <f t="shared" si="8"/>
        <v>-1.2702291629372757</v>
      </c>
      <c r="H39" s="1">
        <f t="shared" si="9"/>
        <v>-1.2908817135680861</v>
      </c>
      <c r="I39" s="1">
        <f>S$3*(((1+S$5*(T-20))*$A39)^S$4) + S$2*$A39</f>
        <v>-1.0335608962063685</v>
      </c>
      <c r="J39" s="66"/>
      <c r="K39" s="66"/>
      <c r="L39" s="1"/>
    </row>
    <row r="40" spans="1:12" x14ac:dyDescent="0.25">
      <c r="A40" s="1">
        <f>Calculate[[#This Row],[Freq]]</f>
        <v>1755000000</v>
      </c>
      <c r="B40">
        <v>-1.0491597229640248</v>
      </c>
      <c r="D40" s="1">
        <f t="shared" si="5"/>
        <v>-1.5412009596383405</v>
      </c>
      <c r="E40" s="1">
        <f t="shared" si="6"/>
        <v>-1.3776962880687844</v>
      </c>
      <c r="F40" s="1">
        <f t="shared" si="7"/>
        <v>-1.1747624230106422</v>
      </c>
      <c r="G40" s="1">
        <f t="shared" si="8"/>
        <v>-1.2915168958055649</v>
      </c>
      <c r="H40" s="1">
        <f t="shared" si="9"/>
        <v>-1.3078698376047637</v>
      </c>
      <c r="I40" s="1">
        <f>S$3*(((1+S$5*(T-20))*$A40)^S$4) + S$2*$A40</f>
        <v>-1.0491597229640248</v>
      </c>
      <c r="J40" s="66"/>
      <c r="K40" s="66"/>
      <c r="L40" s="1"/>
    </row>
    <row r="41" spans="1:12" x14ac:dyDescent="0.25">
      <c r="A41" s="1">
        <f>Calculate[[#This Row],[Freq]]</f>
        <v>1800000000</v>
      </c>
      <c r="B41">
        <v>-1.0646126661341559</v>
      </c>
      <c r="D41" s="1">
        <f t="shared" si="5"/>
        <v>-1.5621790788843561</v>
      </c>
      <c r="E41" s="1">
        <f t="shared" si="6"/>
        <v>-1.3972468950467909</v>
      </c>
      <c r="F41" s="1">
        <f t="shared" si="7"/>
        <v>-1.1925253204265061</v>
      </c>
      <c r="G41" s="1">
        <f t="shared" si="8"/>
        <v>-1.3126519640214194</v>
      </c>
      <c r="H41" s="1">
        <f t="shared" si="9"/>
        <v>-1.3246658702123715</v>
      </c>
      <c r="I41" s="1">
        <f>S$3*(((1+S$5*(T-20))*$A41)^S$4) + S$2*$A41</f>
        <v>-1.0646126661341559</v>
      </c>
      <c r="J41" s="66"/>
      <c r="K41" s="66"/>
      <c r="L41" s="1"/>
    </row>
    <row r="42" spans="1:12" x14ac:dyDescent="0.25">
      <c r="A42" s="1">
        <f>Calculate[[#This Row],[Freq]]</f>
        <v>1845000000</v>
      </c>
      <c r="B42">
        <v>-1.0799251634414366</v>
      </c>
      <c r="D42" s="1">
        <f t="shared" si="5"/>
        <v>-1.5829526314366307</v>
      </c>
      <c r="E42" s="1">
        <f t="shared" si="6"/>
        <v>-1.4166039825388461</v>
      </c>
      <c r="F42" s="1">
        <f t="shared" si="7"/>
        <v>-1.2101366008284609</v>
      </c>
      <c r="G42" s="1">
        <f t="shared" si="8"/>
        <v>-1.3336400580697079</v>
      </c>
      <c r="H42" s="1">
        <f t="shared" si="9"/>
        <v>-1.3412772055415445</v>
      </c>
      <c r="I42" s="1">
        <f>S$3*(((1+S$5*(T-20))*$A42)^S$4) + S$2*$A42</f>
        <v>-1.0799251634414366</v>
      </c>
      <c r="J42" s="66"/>
      <c r="K42" s="66"/>
      <c r="L42" s="1"/>
    </row>
    <row r="43" spans="1:12" x14ac:dyDescent="0.25">
      <c r="A43" s="1">
        <f>Calculate[[#This Row],[Freq]]</f>
        <v>1890000000</v>
      </c>
      <c r="B43">
        <v>-1.0951023229640047</v>
      </c>
      <c r="D43" s="1">
        <f t="shared" si="5"/>
        <v>-1.6035293008046423</v>
      </c>
      <c r="E43" s="1">
        <f t="shared" si="6"/>
        <v>-1.435774588934229</v>
      </c>
      <c r="F43" s="1">
        <f t="shared" si="7"/>
        <v>-1.2276017785943485</v>
      </c>
      <c r="G43" s="1">
        <f t="shared" si="8"/>
        <v>-1.3544865234658978</v>
      </c>
      <c r="H43" s="1">
        <f t="shared" si="9"/>
        <v>-1.3577107808080318</v>
      </c>
      <c r="I43" s="1">
        <f>S$3*(((1+S$5*(T-20))*$A43)^S$4) + S$2*$A43</f>
        <v>-1.0951023229640047</v>
      </c>
      <c r="J43" s="66"/>
      <c r="K43" s="66"/>
      <c r="L43" s="1"/>
    </row>
    <row r="44" spans="1:12" x14ac:dyDescent="0.25">
      <c r="A44" s="1">
        <f>Calculate[[#This Row],[Freq]]</f>
        <v>1935000000</v>
      </c>
      <c r="B44">
        <v>-1.1101489504504474</v>
      </c>
      <c r="D44" s="1">
        <f t="shared" si="5"/>
        <v>-1.6239163069188622</v>
      </c>
      <c r="E44" s="1">
        <f t="shared" si="6"/>
        <v>-1.4547653360442012</v>
      </c>
      <c r="F44" s="1">
        <f t="shared" si="7"/>
        <v>-1.2449260417249806</v>
      </c>
      <c r="G44" s="1">
        <f t="shared" si="8"/>
        <v>-1.3751963893428085</v>
      </c>
      <c r="H44" s="1">
        <f t="shared" si="9"/>
        <v>-1.3739731146756686</v>
      </c>
      <c r="I44" s="1">
        <f>S$3*(((1+S$5*(T-20))*$A44)^S$4) + S$2*$A44</f>
        <v>-1.1101489504504474</v>
      </c>
      <c r="J44" s="66"/>
      <c r="K44" s="66"/>
      <c r="L44" s="1"/>
    </row>
    <row r="45" spans="1:12" x14ac:dyDescent="0.25">
      <c r="A45" s="1">
        <f>Calculate[[#This Row],[Freq]]</f>
        <v>1980000000</v>
      </c>
      <c r="B45">
        <v>-1.1250695737934544</v>
      </c>
      <c r="D45" s="1">
        <f t="shared" si="5"/>
        <v>-1.644120444171425</v>
      </c>
      <c r="E45" s="1">
        <f t="shared" si="6"/>
        <v>-1.4735824628241008</v>
      </c>
      <c r="F45" s="1">
        <f t="shared" si="7"/>
        <v>-1.2621142782644392</v>
      </c>
      <c r="G45" s="1">
        <f t="shared" si="8"/>
        <v>-1.3957743940618645</v>
      </c>
      <c r="H45" s="1">
        <f t="shared" si="9"/>
        <v>-1.390070341602186</v>
      </c>
      <c r="I45" s="1">
        <f>S$3*(((1+S$5*(T-20))*$A45)^S$4) + S$2*$A45</f>
        <v>-1.1250695737934544</v>
      </c>
      <c r="J45" s="66"/>
      <c r="K45" s="66"/>
      <c r="L45" s="1"/>
    </row>
    <row r="46" spans="1:12" x14ac:dyDescent="0.25">
      <c r="A46" s="1">
        <f>Calculate[[#This Row],[Freq]]</f>
        <v>2025000000</v>
      </c>
      <c r="B46">
        <v>-1.1398684650137008</v>
      </c>
      <c r="D46" s="1">
        <f t="shared" si="5"/>
        <v>-1.6641481155460642</v>
      </c>
      <c r="E46" s="1">
        <f t="shared" si="6"/>
        <v>-1.4922318556647989</v>
      </c>
      <c r="F46" s="1">
        <f t="shared" si="7"/>
        <v>-1.2791711000325749</v>
      </c>
      <c r="G46" s="1">
        <f t="shared" si="8"/>
        <v>-1.4162250082188521</v>
      </c>
      <c r="H46" s="1">
        <f t="shared" si="9"/>
        <v>-1.4060082426541294</v>
      </c>
      <c r="I46" s="1">
        <f>S$3*(((1+S$5*(T-20))*$A46)^S$4) + S$2*$A46</f>
        <v>-1.1398684650137008</v>
      </c>
      <c r="J46" s="66"/>
      <c r="K46" s="66"/>
      <c r="L46" s="1"/>
    </row>
    <row r="47" spans="1:12" x14ac:dyDescent="0.25">
      <c r="A47" s="1">
        <f>Calculate[[#This Row],[Freq]]</f>
        <v>2070000000</v>
      </c>
      <c r="B47">
        <v>-1.1545496600567169</v>
      </c>
      <c r="D47" s="1">
        <f t="shared" si="5"/>
        <v>-1.6840053633169176</v>
      </c>
      <c r="E47" s="1">
        <f t="shared" si="6"/>
        <v>-1.510719075670685</v>
      </c>
      <c r="F47" s="1">
        <f t="shared" si="7"/>
        <v>-1.2961008639965295</v>
      </c>
      <c r="G47" s="1">
        <f t="shared" si="8"/>
        <v>-1.4365524553609983</v>
      </c>
      <c r="H47" s="1">
        <f t="shared" si="9"/>
        <v>-1.4217922732239106</v>
      </c>
      <c r="I47" s="1">
        <f>S$3*(((1+S$5*(T-20))*$A47)^S$4) + S$2*$A47</f>
        <v>-1.1545496600567169</v>
      </c>
      <c r="J47" s="66"/>
      <c r="K47" s="66"/>
      <c r="L47" s="1"/>
    </row>
    <row r="48" spans="1:12" x14ac:dyDescent="0.25">
      <c r="A48" s="1">
        <f>Calculate[[#This Row],[Freq]]</f>
        <v>2115000000</v>
      </c>
      <c r="B48">
        <v>-1.169116976662921</v>
      </c>
      <c r="D48" s="1">
        <f t="shared" si="5"/>
        <v>-1.7036978967278562</v>
      </c>
      <c r="E48" s="1">
        <f t="shared" si="6"/>
        <v>-1.5290493832826741</v>
      </c>
      <c r="F48" s="1">
        <f t="shared" si="7"/>
        <v>-1.3129076915621618</v>
      </c>
      <c r="G48" s="1">
        <f t="shared" si="8"/>
        <v>-1.4567607306876533</v>
      </c>
      <c r="H48" s="1">
        <f t="shared" si="9"/>
        <v>-1.4374275880206642</v>
      </c>
      <c r="I48" s="1">
        <f>S$3*(((1+S$5*(T-20))*$A48)^S$4) + S$2*$A48</f>
        <v>-1.169116976662921</v>
      </c>
      <c r="J48" s="66"/>
      <c r="K48" s="66"/>
      <c r="L48" s="1"/>
    </row>
    <row r="49" spans="1:12" x14ac:dyDescent="0.25">
      <c r="A49" s="1">
        <f>Calculate[[#This Row],[Freq]]</f>
        <v>2160000000</v>
      </c>
      <c r="B49">
        <v>-1.1835740305351954</v>
      </c>
      <c r="D49" s="1">
        <f t="shared" si="5"/>
        <v>-1.7232311170069863</v>
      </c>
      <c r="E49" s="1">
        <f t="shared" si="6"/>
        <v>-1.5472277605554088</v>
      </c>
      <c r="F49" s="1">
        <f t="shared" si="7"/>
        <v>-1.3295954860276047</v>
      </c>
      <c r="G49" s="1">
        <f t="shared" si="8"/>
        <v>-1.4768536179693781</v>
      </c>
      <c r="H49" s="1">
        <f t="shared" si="9"/>
        <v>-1.4529190636551099</v>
      </c>
      <c r="I49" s="1">
        <f>S$3*(((1+S$5*(T-20))*$A49)^S$4) + S$2*$A49</f>
        <v>-1.1835740305351954</v>
      </c>
      <c r="J49" s="66"/>
      <c r="K49" s="66"/>
      <c r="L49" s="1"/>
    </row>
    <row r="50" spans="1:12" x14ac:dyDescent="0.25">
      <c r="A50" s="1">
        <f>Calculate[[#This Row],[Freq]]</f>
        <v>2205000000</v>
      </c>
      <c r="B50">
        <v>-1.1979242499981368</v>
      </c>
      <c r="D50" s="1">
        <f t="shared" si="5"/>
        <v>-1.7426101400227534</v>
      </c>
      <c r="E50" s="1">
        <f t="shared" si="6"/>
        <v>-1.5652589313561518</v>
      </c>
      <c r="F50" s="1">
        <f t="shared" si="7"/>
        <v>-1.3461679484085203</v>
      </c>
      <c r="G50" s="1">
        <f t="shared" si="8"/>
        <v>-1.4968347048885973</v>
      </c>
      <c r="H50" s="1">
        <f t="shared" si="9"/>
        <v>-1.4682713190950825</v>
      </c>
      <c r="I50" s="1">
        <f>S$3*(((1+S$5*(T-20))*$A50)^S$4) + S$2*$A50</f>
        <v>-1.1979242499981368</v>
      </c>
      <c r="J50" s="66"/>
      <c r="K50" s="66"/>
      <c r="L50" s="1"/>
    </row>
    <row r="51" spans="1:12" x14ac:dyDescent="0.25">
      <c r="A51" s="1">
        <f>Calculate[[#This Row],[Freq]]</f>
        <v>2250000000</v>
      </c>
      <c r="B51">
        <v>-1.2121708893174843</v>
      </c>
      <c r="D51" s="1">
        <f t="shared" si="5"/>
        <v>-1.7618398168474148</v>
      </c>
      <c r="E51" s="1">
        <f t="shared" si="6"/>
        <v>-1.5831473797175415</v>
      </c>
      <c r="F51" s="1">
        <f t="shared" si="7"/>
        <v>-1.3626285918169629</v>
      </c>
      <c r="G51" s="1">
        <f t="shared" si="8"/>
        <v>-1.5167073969781497</v>
      </c>
      <c r="H51" s="1">
        <f t="shared" si="9"/>
        <v>-1.4834887342316938</v>
      </c>
      <c r="I51" s="1">
        <f>S$3*(((1+S$5*(T-20))*$A51)^S$4) + S$2*$A51</f>
        <v>-1.2121708893174843</v>
      </c>
      <c r="J51" s="66"/>
      <c r="K51" s="66"/>
      <c r="L51" s="1"/>
    </row>
    <row r="52" spans="1:12" x14ac:dyDescent="0.25">
      <c r="A52" s="1">
        <f>Calculate[[#This Row],[Freq]]</f>
        <v>2295000000</v>
      </c>
      <c r="B52">
        <v>-1.2263170408264235</v>
      </c>
      <c r="D52" s="1">
        <f t="shared" si="5"/>
        <v>-1.7809247524589589</v>
      </c>
      <c r="E52" s="1">
        <f t="shared" si="6"/>
        <v>-1.6008973665463531</v>
      </c>
      <c r="F52" s="1">
        <f t="shared" si="7"/>
        <v>-1.3789807545522192</v>
      </c>
      <c r="G52" s="1">
        <f t="shared" si="8"/>
        <v>-1.536474930311257</v>
      </c>
      <c r="H52" s="1">
        <f t="shared" si="9"/>
        <v>-1.4985754667647431</v>
      </c>
      <c r="I52" s="1">
        <f>S$3*(((1+S$5*(T-20))*$A52)^S$4) + S$2*$A52</f>
        <v>-1.2263170408264235</v>
      </c>
      <c r="J52" s="66"/>
      <c r="K52" s="66"/>
      <c r="L52" s="1"/>
    </row>
    <row r="53" spans="1:12" x14ac:dyDescent="0.25">
      <c r="A53" s="1">
        <f>Calculate[[#This Row],[Freq]]</f>
        <v>2340000000</v>
      </c>
      <c r="B53">
        <v>-1.2403656459868495</v>
      </c>
      <c r="D53" s="1">
        <f t="shared" si="5"/>
        <v>-1.7998693227830083</v>
      </c>
      <c r="E53" s="1">
        <f t="shared" si="6"/>
        <v>-1.618512944864742</v>
      </c>
      <c r="F53" s="1">
        <f t="shared" si="7"/>
        <v>-1.3952276120418869</v>
      </c>
      <c r="G53" s="1">
        <f t="shared" si="8"/>
        <v>-1.5561403830769427</v>
      </c>
      <c r="H53" s="1">
        <f t="shared" si="9"/>
        <v>-1.5135354675893564</v>
      </c>
      <c r="I53" s="1">
        <f>S$3*(((1+S$5*(T-20))*$A53)^S$4) + S$2*$A53</f>
        <v>-1.2403656459868495</v>
      </c>
      <c r="J53" s="66"/>
      <c r="K53" s="66"/>
      <c r="L53" s="1"/>
    </row>
    <row r="54" spans="1:12" x14ac:dyDescent="0.25">
      <c r="A54" s="1">
        <f>Calculate[[#This Row],[Freq]]</f>
        <v>2385000000</v>
      </c>
      <c r="B54">
        <v>-1.2543195054977334</v>
      </c>
      <c r="D54" s="1">
        <f t="shared" si="5"/>
        <v>-1.8186776902510424</v>
      </c>
      <c r="E54" s="1">
        <f t="shared" si="6"/>
        <v>-1.6359979737385015</v>
      </c>
      <c r="F54" s="1">
        <f t="shared" si="7"/>
        <v>-1.4113721877542711</v>
      </c>
      <c r="G54" s="1">
        <f t="shared" si="8"/>
        <v>-1.5757066861582634</v>
      </c>
      <c r="H54" s="1">
        <f t="shared" si="9"/>
        <v>-1.5283724948430477</v>
      </c>
      <c r="I54" s="1">
        <f>S$3*(((1+S$5*(T-20))*$A54)^S$4) + S$2*$A54</f>
        <v>-1.2543195054977334</v>
      </c>
      <c r="J54" s="66"/>
      <c r="K54" s="66"/>
      <c r="L54" s="1"/>
    </row>
    <row r="55" spans="1:12" x14ac:dyDescent="0.25">
      <c r="A55" s="1">
        <f>Calculate[[#This Row],[Freq]]</f>
        <v>2430000000</v>
      </c>
      <c r="B55">
        <v>-1.268181288549044</v>
      </c>
      <c r="D55" s="1">
        <f t="shared" si="5"/>
        <v>-1.8373538180294962</v>
      </c>
      <c r="E55" s="1">
        <f t="shared" si="6"/>
        <v>-1.6533561310279852</v>
      </c>
      <c r="F55" s="1">
        <f t="shared" si="7"/>
        <v>-1.4274173631883671</v>
      </c>
      <c r="G55" s="1">
        <f t="shared" si="8"/>
        <v>-1.5951766328163797</v>
      </c>
      <c r="H55" s="1">
        <f t="shared" si="9"/>
        <v>-1.5430901267527566</v>
      </c>
      <c r="I55" s="1">
        <f>S$3*(((1+S$5*(T-20))*$A55)^S$4) + S$2*$A55</f>
        <v>-1.268181288549044</v>
      </c>
      <c r="J55" s="66"/>
      <c r="K55" s="66"/>
      <c r="L55" s="1"/>
    </row>
    <row r="56" spans="1:12" x14ac:dyDescent="0.25">
      <c r="A56" s="1">
        <f>Calculate[[#This Row],[Freq]]</f>
        <v>2475000000</v>
      </c>
      <c r="B56">
        <v>-1.2819535413078789</v>
      </c>
      <c r="D56" s="1">
        <f t="shared" si="5"/>
        <v>-1.8559014830557505</v>
      </c>
      <c r="E56" s="1">
        <f t="shared" si="6"/>
        <v>-1.670590925081092</v>
      </c>
      <c r="F56" s="1">
        <f t="shared" si="7"/>
        <v>-1.4433658870349826</v>
      </c>
      <c r="G56" s="1">
        <f t="shared" si="8"/>
        <v>-1.6145528875711426</v>
      </c>
      <c r="H56" s="1">
        <f t="shared" si="9"/>
        <v>-1.5576917734046627</v>
      </c>
      <c r="I56" s="1">
        <f>S$3*(((1+S$5*(T-20))*$A56)^S$4) + S$2*$A56</f>
        <v>-1.2819535413078789</v>
      </c>
      <c r="J56" s="66"/>
      <c r="K56" s="66"/>
      <c r="L56" s="1"/>
    </row>
    <row r="57" spans="1:12" x14ac:dyDescent="0.25">
      <c r="A57" s="1">
        <f>Calculate[[#This Row],[Freq]]</f>
        <v>2520000000</v>
      </c>
      <c r="B57">
        <v>-1.2956386947132508</v>
      </c>
      <c r="D57" s="1">
        <f t="shared" si="5"/>
        <v>-1.8743242880007871</v>
      </c>
      <c r="E57" s="1">
        <f t="shared" si="6"/>
        <v>-1.6877057054736553</v>
      </c>
      <c r="F57" s="1">
        <f t="shared" si="7"/>
        <v>-1.4592203835915272</v>
      </c>
      <c r="G57" s="1">
        <f t="shared" si="8"/>
        <v>-1.6338379943582053</v>
      </c>
      <c r="H57" s="1">
        <f t="shared" si="9"/>
        <v>-1.5721806875449156</v>
      </c>
      <c r="I57" s="1">
        <f>S$3*(((1+S$5*(T-20))*$A57)^S$4) + S$2*$A57</f>
        <v>-1.2956386947132508</v>
      </c>
      <c r="J57" s="66"/>
      <c r="K57" s="66"/>
      <c r="L57" s="1"/>
    </row>
    <row r="58" spans="1:12" x14ac:dyDescent="0.25">
      <c r="A58" s="1">
        <f>Calculate[[#This Row],[Freq]]</f>
        <v>2565000000</v>
      </c>
      <c r="B58">
        <v>-1.3092390716471523</v>
      </c>
      <c r="D58" s="1">
        <f t="shared" si="5"/>
        <v>-1.8926256722644181</v>
      </c>
      <c r="E58" s="1">
        <f t="shared" si="6"/>
        <v>-1.7047036728904086</v>
      </c>
      <c r="F58" s="1">
        <f t="shared" si="7"/>
        <v>-1.4749833605034688</v>
      </c>
      <c r="G58" s="1">
        <f t="shared" si="8"/>
        <v>-1.6530343840334167</v>
      </c>
      <c r="H58" s="1">
        <f t="shared" si="9"/>
        <v>-1.5865599745069061</v>
      </c>
      <c r="I58" s="1">
        <f>S$3*(((1+S$5*(T-20))*$A58)^S$4) + S$2*$A58</f>
        <v>-1.3092390716471523</v>
      </c>
      <c r="J58" s="66"/>
      <c r="K58" s="66"/>
      <c r="L58" s="1"/>
    </row>
    <row r="59" spans="1:12" x14ac:dyDescent="0.25">
      <c r="A59" s="1">
        <f>Calculate[[#This Row],[Freq]]</f>
        <v>2610000000</v>
      </c>
      <c r="B59">
        <v>-1.3227568935418323</v>
      </c>
      <c r="D59" s="1">
        <f t="shared" si="5"/>
        <v>-1.9108089220968654</v>
      </c>
      <c r="E59" s="1">
        <f t="shared" si="6"/>
        <v>-1.7215878882291116</v>
      </c>
      <c r="F59" s="1">
        <f t="shared" si="7"/>
        <v>-1.4906572158971549</v>
      </c>
      <c r="G59" s="1">
        <f t="shared" si="8"/>
        <v>-1.6721443812872234</v>
      </c>
      <c r="H59" s="1">
        <f t="shared" si="9"/>
        <v>-1.6008326013497443</v>
      </c>
      <c r="I59" s="1">
        <f>S$3*(((1+S$5*(T-20))*$A59)^S$4) + S$2*$A59</f>
        <v>-1.3227568935418323</v>
      </c>
      <c r="J59" s="66"/>
      <c r="K59" s="66"/>
      <c r="L59" s="1"/>
    </row>
    <row r="60" spans="1:12" x14ac:dyDescent="0.25">
      <c r="A60" s="1">
        <f>Calculate[[#This Row],[Freq]]</f>
        <v>2655000000</v>
      </c>
      <c r="B60">
        <v>-1.3361942864765313</v>
      </c>
      <c r="D60" s="1">
        <f t="shared" si="5"/>
        <v>-1.9288771799298889</v>
      </c>
      <c r="E60" s="1">
        <f t="shared" si="6"/>
        <v>-1.7383612810012021</v>
      </c>
      <c r="F60" s="1">
        <f t="shared" si="7"/>
        <v>-1.5062442449614881</v>
      </c>
      <c r="G60" s="1">
        <f t="shared" si="8"/>
        <v>-1.691170211024797</v>
      </c>
      <c r="H60" s="1">
        <f t="shared" si="9"/>
        <v>-1.6150014052830608</v>
      </c>
      <c r="I60" s="1">
        <f>S$3*(((1+S$5*(T-20))*$A60)^S$4) + S$2*$A60</f>
        <v>-1.3361942864765313</v>
      </c>
      <c r="J60" s="66"/>
      <c r="K60" s="66"/>
      <c r="L60" s="1"/>
    </row>
    <row r="61" spans="1:12" x14ac:dyDescent="0.25">
      <c r="A61" s="1">
        <f>Calculate[[#This Row],[Freq]]</f>
        <v>2700000000</v>
      </c>
      <c r="B61">
        <v>-1.3495532868110791</v>
      </c>
      <c r="D61" s="1">
        <f t="shared" si="5"/>
        <v>-1.9468334529915121</v>
      </c>
      <c r="E61" s="1">
        <f t="shared" si="6"/>
        <v>-1.7550266570942976</v>
      </c>
      <c r="F61" s="1">
        <f t="shared" si="7"/>
        <v>-1.5217466460296221</v>
      </c>
      <c r="G61" s="1">
        <f t="shared" si="8"/>
        <v>-1.710114004261496</v>
      </c>
      <c r="H61" s="1">
        <f t="shared" si="9"/>
        <v>-1.6290691014449927</v>
      </c>
      <c r="I61" s="1">
        <f>S$3*(((1+S$5*(T-20))*$A61)^S$4) + S$2*$A61</f>
        <v>-1.3495532868110791</v>
      </c>
      <c r="J61" s="66"/>
      <c r="K61" s="66"/>
      <c r="L61" s="1"/>
    </row>
    <row r="62" spans="1:12" x14ac:dyDescent="0.25">
      <c r="A62" s="1">
        <f>Calculate[[#This Row],[Freq]]</f>
        <v>2745000000</v>
      </c>
      <c r="B62">
        <v>-1.3628358463986423</v>
      </c>
      <c r="D62" s="1">
        <f t="shared" si="5"/>
        <v>-1.9646806212703374</v>
      </c>
      <c r="E62" s="1">
        <f t="shared" si="6"/>
        <v>-1.7715867059548076</v>
      </c>
      <c r="F62" s="1">
        <f t="shared" si="7"/>
        <v>-1.5371665262063356</v>
      </c>
      <c r="G62" s="1">
        <f t="shared" si="8"/>
        <v>-1.7289778035779175</v>
      </c>
      <c r="H62" s="1">
        <f t="shared" si="9"/>
        <v>-1.6430382900929279</v>
      </c>
      <c r="I62" s="1">
        <f>S$3*(((1+S$5*(T-20))*$A62)^S$4) + S$2*$A62</f>
        <v>-1.3628358463986423</v>
      </c>
      <c r="J62" s="66"/>
      <c r="K62" s="66"/>
      <c r="L62" s="1"/>
    </row>
    <row r="63" spans="1:12" x14ac:dyDescent="0.25">
      <c r="A63" s="1">
        <f>Calculate[[#This Row],[Freq]]</f>
        <v>2790000000</v>
      </c>
      <c r="B63">
        <v>-1.3760438374154245</v>
      </c>
      <c r="D63" s="1">
        <f t="shared" si="5"/>
        <v>-1.9824214448883128</v>
      </c>
      <c r="E63" s="1">
        <f t="shared" si="6"/>
        <v>-1.788044007242745</v>
      </c>
      <c r="F63" s="1">
        <f t="shared" si="7"/>
        <v>-1.5525059065818885</v>
      </c>
      <c r="G63" s="1">
        <f t="shared" si="8"/>
        <v>-1.747763568174094</v>
      </c>
      <c r="H63" s="1">
        <f t="shared" si="9"/>
        <v>-1.6569114632601623</v>
      </c>
      <c r="I63" s="1">
        <f>S$3*(((1+S$5*(T-20))*$A63)^S$4) + S$2*$A63</f>
        <v>-1.3760438374154245</v>
      </c>
      <c r="J63" s="66"/>
      <c r="K63" s="66"/>
      <c r="L63" s="1"/>
    </row>
    <row r="64" spans="1:12" x14ac:dyDescent="0.25">
      <c r="A64" s="1">
        <f>Calculate[[#This Row],[Freq]]</f>
        <v>2835000000</v>
      </c>
      <c r="B64">
        <v>-1.3891790568411628</v>
      </c>
      <c r="D64" s="1">
        <f t="shared" si="5"/>
        <v>-2.0000585709347889</v>
      </c>
      <c r="E64" s="1">
        <f t="shared" si="6"/>
        <v>-1.8044010370053782</v>
      </c>
      <c r="F64" s="1">
        <f t="shared" si="7"/>
        <v>-1.5677667270689013</v>
      </c>
      <c r="G64" s="1">
        <f t="shared" si="8"/>
        <v>-1.7664731785582557</v>
      </c>
      <c r="H64" s="1">
        <f t="shared" si="9"/>
        <v>-1.6706910109261675</v>
      </c>
      <c r="I64" s="1">
        <f>S$3*(((1+S$5*(T-20))*$A64)^S$4) + S$2*$A64</f>
        <v>-1.3891790568411628</v>
      </c>
      <c r="J64" s="66"/>
      <c r="K64" s="66"/>
      <c r="L64" s="1"/>
    </row>
    <row r="65" spans="1:12" x14ac:dyDescent="0.25">
      <c r="A65" s="1">
        <f>Calculate[[#This Row],[Freq]]</f>
        <v>2880000000</v>
      </c>
      <c r="B65">
        <v>-1.4022432306208001</v>
      </c>
      <c r="D65" s="1">
        <f t="shared" si="5"/>
        <v>-2.0175945398090058</v>
      </c>
      <c r="E65" s="1">
        <f t="shared" si="6"/>
        <v>-1.8206601734115715</v>
      </c>
      <c r="F65" s="1">
        <f t="shared" si="7"/>
        <v>-1.5829508508950478</v>
      </c>
      <c r="G65" s="1">
        <f t="shared" si="8"/>
        <v>-1.7851084409019489</v>
      </c>
      <c r="H65" s="1">
        <f t="shared" si="9"/>
        <v>-1.6843792267430393</v>
      </c>
      <c r="I65" s="1">
        <f>S$3*(((1+S$5*(T-20))*$A65)^S$4) + S$2*$A65</f>
        <v>-1.4022432306208001</v>
      </c>
      <c r="J65" s="66"/>
      <c r="K65" s="66"/>
      <c r="L65" s="1"/>
    </row>
    <row r="66" spans="1:12" x14ac:dyDescent="0.25">
      <c r="A66" s="1">
        <f>Calculate[[#This Row],[Freq]]</f>
        <v>2925000000</v>
      </c>
      <c r="B66">
        <v>-1.4152380175346275</v>
      </c>
      <c r="D66" s="1">
        <f t="shared" ref="D66:D97" si="10">N$3*(((1+N$5*(T-20))*$A66)^N$4) + N$2*$A66</f>
        <v>-2.0350317911135498</v>
      </c>
      <c r="E66" s="1">
        <f t="shared" ref="E66:E97" si="11">O$3*(((1+O$5*(T-20))*$A66)^O$4) + O$2*$A66</f>
        <v>-1.8368237020844296</v>
      </c>
      <c r="F66" s="1">
        <f t="shared" ref="F66:F97" si="12">P$3*(((1+P$5*(T-20))*$A66)^P$4) + P$2*$A66</f>
        <v>-1.5980600687810327</v>
      </c>
      <c r="G66" s="1">
        <f t="shared" ref="G66:G97" si="13">Q$3*(((1+Q$5*(T-20))*$A66)^Q$4) + Q$2*$A66</f>
        <v>-1.803671091090072</v>
      </c>
      <c r="H66" s="1">
        <f t="shared" ref="H66:H97" si="14">R$3*(((1+R$5*(T-20))*$A66)^R$4) + R$2*$A66</f>
        <v>-1.6979783133565265</v>
      </c>
      <c r="I66" s="1">
        <f>S$3*(((1+S$5*(T-20))*$A66)^S$4) + S$2*$A66</f>
        <v>-1.4152380175346275</v>
      </c>
      <c r="J66" s="66"/>
      <c r="K66" s="66"/>
      <c r="L66" s="1"/>
    </row>
    <row r="67" spans="1:12" x14ac:dyDescent="0.25">
      <c r="A67" s="1">
        <f>Calculate[[#This Row],[Freq]]</f>
        <v>2970000000</v>
      </c>
      <c r="B67">
        <v>-1.4281650128014738</v>
      </c>
      <c r="D67" s="1">
        <f t="shared" si="10"/>
        <v>-2.0523726691369553</v>
      </c>
      <c r="E67" s="1">
        <f t="shared" si="11"/>
        <v>-1.8528938210661143</v>
      </c>
      <c r="F67" s="1">
        <f t="shared" si="12"/>
        <v>-1.6130961028303807</v>
      </c>
      <c r="G67" s="1">
        <f t="shared" si="13"/>
        <v>-1.8221627984915538</v>
      </c>
      <c r="H67" s="1">
        <f t="shared" si="14"/>
        <v>-1.7114903873561096</v>
      </c>
      <c r="I67" s="1">
        <f>S$3*(((1+S$5*(T-20))*$A67)^S$4) + S$2*$A67</f>
        <v>-1.4281650128014738</v>
      </c>
      <c r="J67" s="66"/>
      <c r="K67" s="66"/>
      <c r="L67" s="1"/>
    </row>
    <row r="68" spans="1:12" x14ac:dyDescent="0.25">
      <c r="A68" s="1">
        <f>Calculate[[#This Row],[Freq]]</f>
        <v>3015000000</v>
      </c>
      <c r="B68">
        <v>-1.4410257514371143</v>
      </c>
      <c r="D68" s="1">
        <f t="shared" si="10"/>
        <v>-2.0696194279598079</v>
      </c>
      <c r="E68" s="1">
        <f t="shared" si="11"/>
        <v>-1.8688726454453686</v>
      </c>
      <c r="F68" s="1">
        <f t="shared" si="12"/>
        <v>-1.6280606101549733</v>
      </c>
      <c r="G68" s="1">
        <f t="shared" si="13"/>
        <v>-1.840585169473866</v>
      </c>
      <c r="H68" s="1">
        <f t="shared" si="14"/>
        <v>-1.7249174838851542</v>
      </c>
      <c r="I68" s="1">
        <f>S$3*(((1+S$5*(T-20))*$A68)^S$4) + S$2*$A68</f>
        <v>-1.4410257514371143</v>
      </c>
      <c r="J68" s="66"/>
      <c r="K68" s="66"/>
      <c r="L68" s="1"/>
    </row>
    <row r="69" spans="1:12" x14ac:dyDescent="0.25">
      <c r="A69" s="1">
        <f>Calculate[[#This Row],[Freq]]</f>
        <v>3060000000</v>
      </c>
      <c r="B69">
        <v>-1.4538217113879131</v>
      </c>
      <c r="D69" s="1">
        <f t="shared" si="10"/>
        <v>-2.0867742362154842</v>
      </c>
      <c r="E69" s="1">
        <f t="shared" si="11"/>
        <v>-1.8847622116753493</v>
      </c>
      <c r="F69" s="1">
        <f t="shared" si="12"/>
        <v>-1.6429551862579457</v>
      </c>
      <c r="G69" s="1">
        <f t="shared" si="13"/>
        <v>-1.8589397506823293</v>
      </c>
      <c r="H69" s="1">
        <f t="shared" si="14"/>
        <v>-1.7382615609392427</v>
      </c>
      <c r="I69" s="1">
        <f>S$3*(((1+S$5*(T-20))*$A69)^S$4) + S$2*$A69</f>
        <v>-1.4538217113879131</v>
      </c>
      <c r="J69" s="66"/>
      <c r="K69" s="66"/>
      <c r="L69" s="1"/>
    </row>
    <row r="70" spans="1:12" x14ac:dyDescent="0.25">
      <c r="A70" s="1">
        <f>Calculate[[#This Row],[Freq]]</f>
        <v>3105000000</v>
      </c>
      <c r="B70">
        <v>-1.4665543164578239</v>
      </c>
      <c r="D70" s="1">
        <f t="shared" si="10"/>
        <v>-2.1038391815335724</v>
      </c>
      <c r="E70" s="1">
        <f t="shared" si="11"/>
        <v>-1.9005644816067195</v>
      </c>
      <c r="F70" s="1">
        <f t="shared" si="12"/>
        <v>-1.6577813681935014</v>
      </c>
      <c r="G70" s="1">
        <f t="shared" si="13"/>
        <v>-1.8772280321031682</v>
      </c>
      <c r="H70" s="1">
        <f t="shared" si="14"/>
        <v>-1.7515245033780071</v>
      </c>
      <c r="I70" s="1">
        <f>S$3*(((1+S$5*(T-20))*$A70)^S$4) + S$2*$A70</f>
        <v>-1.4665543164578239</v>
      </c>
      <c r="J70" s="66"/>
      <c r="K70" s="66"/>
      <c r="L70" s="1"/>
    </row>
    <row r="71" spans="1:12" x14ac:dyDescent="0.25">
      <c r="A71" s="1">
        <f>Calculate[[#This Row],[Freq]]</f>
        <v>3150000000</v>
      </c>
      <c r="B71">
        <v>-1.4792249390451582</v>
      </c>
      <c r="D71" s="1">
        <f t="shared" si="10"/>
        <v>-2.1208162746913994</v>
      </c>
      <c r="E71" s="1">
        <f t="shared" si="11"/>
        <v>-1.916281346258627</v>
      </c>
      <c r="F71" s="1">
        <f t="shared" si="12"/>
        <v>-1.6725406375213649</v>
      </c>
      <c r="G71" s="1">
        <f t="shared" si="13"/>
        <v>-1.8954514499274908</v>
      </c>
      <c r="H71" s="1">
        <f t="shared" si="14"/>
        <v>-1.7647081266734248</v>
      </c>
      <c r="I71" s="1">
        <f>S$3*(((1+S$5*(T-20))*$A71)^S$4) + S$2*$A71</f>
        <v>-1.4792249390451582</v>
      </c>
      <c r="J71" s="66"/>
      <c r="K71" s="66"/>
      <c r="L71" s="1"/>
    </row>
    <row r="72" spans="1:12" x14ac:dyDescent="0.25">
      <c r="A72" s="1">
        <f>Calculate[[#This Row],[Freq]]</f>
        <v>3195000000</v>
      </c>
      <c r="B72">
        <v>-1.491834902704021</v>
      </c>
      <c r="D72" s="1">
        <f t="shared" si="10"/>
        <v>-2.1377074534967293</v>
      </c>
      <c r="E72" s="1">
        <f t="shared" si="11"/>
        <v>-1.9319146293480878</v>
      </c>
      <c r="F72" s="1">
        <f t="shared" si="12"/>
        <v>-1.6872344230719554</v>
      </c>
      <c r="G72" s="1">
        <f t="shared" si="13"/>
        <v>-1.9136113892317872</v>
      </c>
      <c r="H72" s="1">
        <f t="shared" si="14"/>
        <v>-1.7778141804153906</v>
      </c>
      <c r="I72" s="1">
        <f>S$3*(((1+S$5*(T-20))*$A72)^S$4) + S$2*$A72</f>
        <v>-1.491834902704021</v>
      </c>
      <c r="J72" s="66"/>
      <c r="K72" s="66"/>
      <c r="L72" s="1"/>
    </row>
    <row r="73" spans="1:12" x14ac:dyDescent="0.25">
      <c r="A73" s="1">
        <f>Calculate[[#This Row],[Freq]]</f>
        <v>3240000000</v>
      </c>
      <c r="B73">
        <v>-1.5043854845439468</v>
      </c>
      <c r="D73" s="1">
        <f t="shared" si="10"/>
        <v>-2.1545145864225694</v>
      </c>
      <c r="E73" s="1">
        <f t="shared" si="11"/>
        <v>-1.9474660905964325</v>
      </c>
      <c r="F73" s="1">
        <f t="shared" si="12"/>
        <v>-1.7018641035368929</v>
      </c>
      <c r="G73" s="1">
        <f t="shared" si="13"/>
        <v>-1.9317091864891078</v>
      </c>
      <c r="H73" s="1">
        <f t="shared" si="14"/>
        <v>-1.7908443515934771</v>
      </c>
      <c r="I73" s="1">
        <f>S$3*(((1+S$5*(T-20))*$A73)^S$4) + S$2*$A73</f>
        <v>-1.5043854845439468</v>
      </c>
      <c r="J73" s="66"/>
      <c r="K73" s="66"/>
      <c r="L73" s="1"/>
    </row>
    <row r="74" spans="1:12" x14ac:dyDescent="0.25">
      <c r="A74" s="1">
        <f>Calculate[[#This Row],[Freq]]</f>
        <v>3285000000</v>
      </c>
      <c r="B74">
        <v>-1.5168779174800595</v>
      </c>
      <c r="D74" s="1">
        <f t="shared" si="10"/>
        <v>-2.1712394760131253</v>
      </c>
      <c r="E74" s="1">
        <f t="shared" si="11"/>
        <v>-1.9629374288297863</v>
      </c>
      <c r="F74" s="1">
        <f t="shared" si="12"/>
        <v>-1.7164310098981339</v>
      </c>
      <c r="G74" s="1">
        <f t="shared" si="13"/>
        <v>-1.9497461319238161</v>
      </c>
      <c r="H74" s="1">
        <f t="shared" si="14"/>
        <v>-1.8038002676720719</v>
      </c>
      <c r="I74" s="1">
        <f>S$3*(((1+S$5*(T-20))*$A74)^S$4) + S$2*$A74</f>
        <v>-1.5168779174800595</v>
      </c>
      <c r="J74" s="66"/>
      <c r="K74" s="66"/>
      <c r="L74" s="1"/>
    </row>
    <row r="75" spans="1:12" x14ac:dyDescent="0.25">
      <c r="A75" s="1">
        <f>Calculate[[#This Row],[Freq]]</f>
        <v>3330000000</v>
      </c>
      <c r="B75">
        <v>-1.5293133923449758</v>
      </c>
      <c r="D75" s="1">
        <f t="shared" si="10"/>
        <v>-2.1878838620782175</v>
      </c>
      <c r="E75" s="1">
        <f t="shared" si="11"/>
        <v>-1.9783302848890483</v>
      </c>
      <c r="F75" s="1">
        <f t="shared" si="12"/>
        <v>-1.7309364277078614</v>
      </c>
      <c r="G75" s="1">
        <f t="shared" si="13"/>
        <v>-1.9677234717216598</v>
      </c>
      <c r="H75" s="1">
        <f t="shared" si="14"/>
        <v>-1.8166834994745233</v>
      </c>
      <c r="I75" s="1">
        <f>S$3*(((1+S$5*(T-20))*$A75)^S$4) + S$2*$A75</f>
        <v>-1.5293133923449758</v>
      </c>
      <c r="J75" s="66"/>
      <c r="K75" s="66"/>
      <c r="L75" s="1"/>
    </row>
    <row r="76" spans="1:12" x14ac:dyDescent="0.25">
      <c r="A76" s="1">
        <f>Calculate[[#This Row],[Freq]]</f>
        <v>3375000000</v>
      </c>
      <c r="B76">
        <v>-1.5416930598727019</v>
      </c>
      <c r="D76" s="1">
        <f t="shared" si="10"/>
        <v>-2.2044494246920041</v>
      </c>
      <c r="E76" s="1">
        <f t="shared" si="11"/>
        <v>-1.9936462443634897</v>
      </c>
      <c r="F76" s="1">
        <f t="shared" si="12"/>
        <v>-1.7453815992301778</v>
      </c>
      <c r="G76" s="1">
        <f t="shared" si="13"/>
        <v>-1.9856424101058829</v>
      </c>
      <c r="H76" s="1">
        <f t="shared" si="14"/>
        <v>-1.8294955638906003</v>
      </c>
      <c r="I76" s="1">
        <f>S$3*(((1+S$5*(T-20))*$A76)^S$4) + S$2*$A76</f>
        <v>-1.5416930598727019</v>
      </c>
      <c r="J76" s="66"/>
      <c r="K76" s="66"/>
      <c r="L76" s="1"/>
    </row>
    <row r="77" spans="1:12" x14ac:dyDescent="0.25">
      <c r="A77" s="1">
        <f>Calculate[[#This Row],[Freq]]</f>
        <v>3420000000</v>
      </c>
      <c r="B77">
        <v>-1.5540180325638728</v>
      </c>
      <c r="D77" s="1">
        <f t="shared" si="10"/>
        <v>-2.2209377870104299</v>
      </c>
      <c r="E77" s="1">
        <f t="shared" si="11"/>
        <v>-2.0088868401608564</v>
      </c>
      <c r="F77" s="1">
        <f t="shared" si="12"/>
        <v>-1.7597677254547086</v>
      </c>
      <c r="G77" s="1">
        <f t="shared" si="13"/>
        <v>-2.0035041112891685</v>
      </c>
      <c r="H77" s="1">
        <f t="shared" si="14"/>
        <v>-1.8422379264202811</v>
      </c>
      <c r="I77" s="1">
        <f>S$3*(((1+S$5*(T-20))*$A77)^S$4) + S$2*$A77</f>
        <v>-1.5540180325638728</v>
      </c>
      <c r="J77" s="66"/>
      <c r="K77" s="66"/>
      <c r="L77" s="1"/>
    </row>
    <row r="78" spans="1:12" x14ac:dyDescent="0.25">
      <c r="A78" s="1">
        <f>Calculate[[#This Row],[Freq]]</f>
        <v>3465000000</v>
      </c>
      <c r="B78">
        <v>-1.5662893864409031</v>
      </c>
      <c r="D78" s="1">
        <f t="shared" si="10"/>
        <v>-2.2373505179205688</v>
      </c>
      <c r="E78" s="1">
        <f t="shared" si="11"/>
        <v>-2.024053554925779</v>
      </c>
      <c r="F78" s="1">
        <f t="shared" si="12"/>
        <v>-1.7740959679913586</v>
      </c>
      <c r="G78" s="1">
        <f t="shared" si="13"/>
        <v>-2.021309701310372</v>
      </c>
      <c r="H78" s="1">
        <f t="shared" si="14"/>
        <v>-1.8549120035657714</v>
      </c>
      <c r="I78" s="1">
        <f>S$3*(((1+S$5*(T-20))*$A78)^S$4) + S$2*$A78</f>
        <v>-1.5662893864409031</v>
      </c>
      <c r="J78" s="66"/>
      <c r="K78" s="66"/>
      <c r="L78" s="1"/>
    </row>
    <row r="79" spans="1:12" x14ac:dyDescent="0.25">
      <c r="A79" s="1">
        <f>Calculate[[#This Row],[Freq]]</f>
        <v>3510000000</v>
      </c>
      <c r="B79">
        <v>-1.5785081627008783</v>
      </c>
      <c r="D79" s="1">
        <f t="shared" si="10"/>
        <v>-2.2536891345339516</v>
      </c>
      <c r="E79" s="1">
        <f t="shared" si="11"/>
        <v>-2.0391478233172844</v>
      </c>
      <c r="F79" s="1">
        <f t="shared" si="12"/>
        <v>-1.7883674508546763</v>
      </c>
      <c r="G79" s="1">
        <f t="shared" si="13"/>
        <v>-2.0390602697642439</v>
      </c>
      <c r="H79" s="1">
        <f t="shared" si="14"/>
        <v>-1.8675191650826535</v>
      </c>
      <c r="I79" s="1">
        <f>S$3*(((1+S$5*(T-20))*$A79)^S$4) + S$2*$A79</f>
        <v>-1.5785081627008783</v>
      </c>
      <c r="J79" s="66"/>
      <c r="K79" s="66"/>
      <c r="L79" s="1"/>
    </row>
    <row r="80" spans="1:12" x14ac:dyDescent="0.25">
      <c r="A80" s="1">
        <f>Calculate[[#This Row],[Freq]]</f>
        <v>3555000000</v>
      </c>
      <c r="B80">
        <v>-1.5906753692733864</v>
      </c>
      <c r="D80" s="1">
        <f t="shared" si="10"/>
        <v>-2.269955104534978</v>
      </c>
      <c r="E80" s="1">
        <f t="shared" si="11"/>
        <v>-2.0541710341553179</v>
      </c>
      <c r="F80" s="1">
        <f t="shared" si="12"/>
        <v>-1.8025832621455935</v>
      </c>
      <c r="G80" s="1">
        <f t="shared" si="13"/>
        <v>-2.0567568714316735</v>
      </c>
      <c r="H80" s="1">
        <f t="shared" si="14"/>
        <v>-1.8800607361002011</v>
      </c>
      <c r="I80" s="1">
        <f>S$3*(((1+S$5*(T-20))*$A80)^S$4) + S$2*$A80</f>
        <v>-1.5906753692733864</v>
      </c>
      <c r="J80" s="66"/>
      <c r="K80" s="66"/>
      <c r="L80" s="1"/>
    </row>
    <row r="81" spans="1:12" x14ac:dyDescent="0.25">
      <c r="A81" s="1">
        <f>Calculate[[#This Row],[Freq]]</f>
        <v>3600000000</v>
      </c>
      <c r="B81">
        <v>-1.6027919822898777</v>
      </c>
      <c r="D81" s="1">
        <f t="shared" si="10"/>
        <v>-2.2861498483944769</v>
      </c>
      <c r="E81" s="1">
        <f t="shared" si="11"/>
        <v>-2.0691245324453695</v>
      </c>
      <c r="F81" s="1">
        <f t="shared" si="12"/>
        <v>-1.8167444556376622</v>
      </c>
      <c r="G81" s="1">
        <f t="shared" si="13"/>
        <v>-2.0744005278173496</v>
      </c>
      <c r="H81" s="1">
        <f t="shared" si="14"/>
        <v>-1.8925379991199363</v>
      </c>
      <c r="I81" s="1">
        <f>S$3*(((1+S$5*(T-20))*$A81)^S$4) + S$2*$A81</f>
        <v>-1.6027919822898777</v>
      </c>
      <c r="J81" s="66"/>
      <c r="K81" s="66"/>
      <c r="L81" s="1"/>
    </row>
    <row r="82" spans="1:12" x14ac:dyDescent="0.25">
      <c r="A82" s="1">
        <f>Calculate[[#This Row],[Freq]]</f>
        <v>3645000000</v>
      </c>
      <c r="B82">
        <v>-1.6148589474706248</v>
      </c>
      <c r="D82" s="1">
        <f t="shared" si="10"/>
        <v>-2.3022747414578286</v>
      </c>
      <c r="E82" s="1">
        <f t="shared" si="11"/>
        <v>-2.0840096212895549</v>
      </c>
      <c r="F82" s="1">
        <f t="shared" si="12"/>
        <v>-1.8308520522743317</v>
      </c>
      <c r="G82" s="1">
        <f t="shared" si="13"/>
        <v>-2.0919922286011885</v>
      </c>
      <c r="H82" s="1">
        <f t="shared" si="14"/>
        <v>-1.9049521959009357</v>
      </c>
      <c r="I82" s="1">
        <f>S$3*(((1+S$5*(T-20))*$A82)^S$4) + S$2*$A82</f>
        <v>-1.6148589474706248</v>
      </c>
      <c r="J82" s="66"/>
      <c r="K82" s="66"/>
      <c r="L82" s="1"/>
    </row>
    <row r="83" spans="1:12" x14ac:dyDescent="0.25">
      <c r="A83" s="1">
        <f>Calculate[[#This Row],[Freq]]</f>
        <v>3690000000</v>
      </c>
      <c r="B83">
        <v>-1.626877181434855</v>
      </c>
      <c r="D83" s="1">
        <f t="shared" si="10"/>
        <v>-2.3183311159161604</v>
      </c>
      <c r="E83" s="1">
        <f t="shared" si="11"/>
        <v>-2.098827563691839</v>
      </c>
      <c r="F83" s="1">
        <f t="shared" si="12"/>
        <v>-1.8449070415832918</v>
      </c>
      <c r="G83" s="1">
        <f t="shared" si="13"/>
        <v>-2.109532933009366</v>
      </c>
      <c r="H83" s="1">
        <f t="shared" si="14"/>
        <v>-1.9173045292395643</v>
      </c>
      <c r="I83" s="1">
        <f>S$3*(((1+S$5*(T-20))*$A83)^S$4) + S$2*$A83</f>
        <v>-1.626877181434855</v>
      </c>
      <c r="J83" s="66"/>
      <c r="K83" s="66"/>
      <c r="L83" s="1"/>
    </row>
    <row r="84" spans="1:12" x14ac:dyDescent="0.25">
      <c r="A84" s="1">
        <f>Calculate[[#This Row],[Freq]]</f>
        <v>3735000000</v>
      </c>
      <c r="B84">
        <v>-1.6388475729391991</v>
      </c>
      <c r="D84" s="1">
        <f t="shared" si="10"/>
        <v>-2.3343202626685127</v>
      </c>
      <c r="E84" s="1">
        <f t="shared" si="11"/>
        <v>-2.1135795842644884</v>
      </c>
      <c r="F84" s="1">
        <f t="shared" si="12"/>
        <v>-1.8589103830134268</v>
      </c>
      <c r="G84" s="1">
        <f t="shared" si="13"/>
        <v>-2.1270235711103322</v>
      </c>
      <c r="H84" s="1">
        <f t="shared" si="14"/>
        <v>-1.92959616465077</v>
      </c>
      <c r="I84" s="1">
        <f>S$3*(((1+S$5*(T-20))*$A84)^S$4) + S$2*$A84</f>
        <v>-1.6388475729391991</v>
      </c>
      <c r="J84" s="66"/>
      <c r="K84" s="66"/>
      <c r="L84" s="1"/>
    </row>
    <row r="85" spans="1:12" x14ac:dyDescent="0.25">
      <c r="A85" s="1">
        <f>Calculate[[#This Row],[Freq]]</f>
        <v>3780000000</v>
      </c>
      <c r="B85">
        <v>-1.65077098404919</v>
      </c>
      <c r="D85" s="1">
        <f t="shared" si="10"/>
        <v>-2.3502434330822632</v>
      </c>
      <c r="E85" s="1">
        <f t="shared" si="11"/>
        <v>-2.1282668708422685</v>
      </c>
      <c r="F85" s="1">
        <f t="shared" si="12"/>
        <v>-1.8728630071994965</v>
      </c>
      <c r="G85" s="1">
        <f t="shared" si="13"/>
        <v>-2.1444650450407639</v>
      </c>
      <c r="H85" s="1">
        <f t="shared" si="14"/>
        <v>-1.9418282319575204</v>
      </c>
      <c r="I85" s="1">
        <f>S$3*(((1+S$5*(T-20))*$A85)^S$4) + S$2*$A85</f>
        <v>-1.65077098404919</v>
      </c>
      <c r="J85" s="66"/>
      <c r="K85" s="66"/>
      <c r="L85" s="1"/>
    </row>
    <row r="86" spans="1:12" x14ac:dyDescent="0.25">
      <c r="A86" s="1">
        <f>Calculate[[#This Row],[Freq]]</f>
        <v>3825000000</v>
      </c>
      <c r="B86">
        <v>-1.6626482512481779</v>
      </c>
      <c r="D86" s="1">
        <f t="shared" si="10"/>
        <v>-2.3661018406584882</v>
      </c>
      <c r="E86" s="1">
        <f t="shared" si="11"/>
        <v>-2.1428905760104167</v>
      </c>
      <c r="F86" s="1">
        <f t="shared" si="12"/>
        <v>-1.8867658171592563</v>
      </c>
      <c r="G86" s="1">
        <f t="shared" si="13"/>
        <v>-2.1618582301660272</v>
      </c>
      <c r="H86" s="1">
        <f t="shared" si="14"/>
        <v>-1.9540018267944077</v>
      </c>
      <c r="I86" s="1">
        <f>S$3*(((1+S$5*(T-20))*$A86)^S$4) + S$2*$A86</f>
        <v>-1.6626482512481779</v>
      </c>
      <c r="J86" s="66"/>
      <c r="K86" s="66"/>
      <c r="L86" s="1"/>
    </row>
    <row r="87" spans="1:12" x14ac:dyDescent="0.25">
      <c r="A87" s="1">
        <f>Calculate[[#This Row],[Freq]]</f>
        <v>3870000000</v>
      </c>
      <c r="B87">
        <v>-1.6744801864877126</v>
      </c>
      <c r="D87" s="1">
        <f t="shared" si="10"/>
        <v>-2.381896662608459</v>
      </c>
      <c r="E87" s="1">
        <f t="shared" si="11"/>
        <v>-2.1574518185519516</v>
      </c>
      <c r="F87" s="1">
        <f t="shared" si="12"/>
        <v>-1.9006196894273857</v>
      </c>
      <c r="G87" s="1">
        <f t="shared" si="13"/>
        <v>-2.1792039761793829</v>
      </c>
      <c r="H87" s="1">
        <f t="shared" si="14"/>
        <v>-1.9661180120310233</v>
      </c>
      <c r="I87" s="1">
        <f>S$3*(((1+S$5*(T-20))*$A87)^S$4) + S$2*$A87</f>
        <v>-1.6744801864877126</v>
      </c>
      <c r="J87" s="66"/>
      <c r="K87" s="66"/>
      <c r="L87" s="1"/>
    </row>
    <row r="88" spans="1:12" x14ac:dyDescent="0.25">
      <c r="A88" s="1">
        <f>Calculate[[#This Row],[Freq]]</f>
        <v>3915000000</v>
      </c>
      <c r="B88">
        <v>-1.6862675781831098</v>
      </c>
      <c r="D88" s="1">
        <f t="shared" si="10"/>
        <v>-2.3976290413469901</v>
      </c>
      <c r="E88" s="1">
        <f t="shared" si="11"/>
        <v>-2.171951684819462</v>
      </c>
      <c r="F88" s="1">
        <f t="shared" si="12"/>
        <v>-1.9144254751302439</v>
      </c>
      <c r="G88" s="1">
        <f t="shared" si="13"/>
        <v>-2.1965031081438293</v>
      </c>
      <c r="H88" s="1">
        <f t="shared" si="14"/>
        <v>-1.9781778191202548</v>
      </c>
      <c r="I88" s="1">
        <f>S$3*(((1+S$5*(T-20))*$A88)^S$4) + S$2*$A88</f>
        <v>-1.6862675781831098</v>
      </c>
      <c r="J88" s="66"/>
      <c r="K88" s="66"/>
      <c r="L88" s="1"/>
    </row>
    <row r="89" spans="1:12" x14ac:dyDescent="0.25">
      <c r="A89" s="1">
        <f>Calculate[[#This Row],[Freq]]</f>
        <v>3960000000</v>
      </c>
      <c r="B89">
        <v>-1.6980111921576726</v>
      </c>
      <c r="D89" s="1">
        <f t="shared" si="10"/>
        <v>-2.4133000859079248</v>
      </c>
      <c r="E89" s="1">
        <f t="shared" si="11"/>
        <v>-2.1863912300361417</v>
      </c>
      <c r="F89" s="1">
        <f t="shared" si="12"/>
        <v>-1.9281840010051943</v>
      </c>
      <c r="G89" s="1">
        <f t="shared" si="13"/>
        <v>-2.213756427480214</v>
      </c>
      <c r="H89" s="1">
        <f t="shared" si="14"/>
        <v>-1.9901822493762884</v>
      </c>
      <c r="I89" s="1">
        <f>S$3*(((1+S$5*(T-20))*$A89)^S$4) + S$2*$A89</f>
        <v>-1.6980111921576726</v>
      </c>
      <c r="J89" s="66"/>
      <c r="K89" s="66"/>
      <c r="L89" s="1"/>
    </row>
    <row r="90" spans="1:12" x14ac:dyDescent="0.25">
      <c r="A90" s="1">
        <f>Calculate[[#This Row],[Freq]]</f>
        <v>4005000000</v>
      </c>
      <c r="B90">
        <v>-1.7097117725387558</v>
      </c>
      <c r="D90" s="1">
        <f t="shared" si="10"/>
        <v>-2.4289108732866502</v>
      </c>
      <c r="E90" s="1">
        <f t="shared" si="11"/>
        <v>-2.20077147953047</v>
      </c>
      <c r="F90" s="1">
        <f t="shared" si="12"/>
        <v>-1.9418960703679433</v>
      </c>
      <c r="G90" s="1">
        <f t="shared" si="13"/>
        <v>-2.2309647129049499</v>
      </c>
      <c r="H90" s="1">
        <f t="shared" si="14"/>
        <v>-2.0021322751867272</v>
      </c>
      <c r="I90" s="1">
        <f>S$3*(((1+S$5*(T-20))*$A90)^S$4) + S$2*$A90</f>
        <v>-1.7097117725387558</v>
      </c>
      <c r="J90" s="66"/>
      <c r="K90" s="66"/>
      <c r="L90" s="1"/>
    </row>
    <row r="91" spans="1:12" x14ac:dyDescent="0.25">
      <c r="A91" s="1">
        <f>Calculate[[#This Row],[Freq]]</f>
        <v>4050000000</v>
      </c>
      <c r="B91">
        <v>-1.7213700426086489</v>
      </c>
      <c r="D91" s="1">
        <f t="shared" si="10"/>
        <v>-2.4444624497142033</v>
      </c>
      <c r="E91" s="1">
        <f t="shared" si="11"/>
        <v>-2.2150934299086433</v>
      </c>
      <c r="F91" s="1">
        <f t="shared" si="12"/>
        <v>-1.9555624640311022</v>
      </c>
      <c r="G91" s="1">
        <f t="shared" si="13"/>
        <v>-2.2481287213204495</v>
      </c>
      <c r="H91" s="1">
        <f t="shared" si="14"/>
        <v>-2.0140288411629421</v>
      </c>
      <c r="I91" s="1">
        <f>S$3*(((1+S$5*(T-20))*$A91)^S$4) + S$2*$A91</f>
        <v>-1.7213700426086489</v>
      </c>
      <c r="J91" s="66"/>
      <c r="K91" s="66"/>
      <c r="L91" s="1"/>
    </row>
    <row r="92" spans="1:12" x14ac:dyDescent="0.25">
      <c r="A92" s="1">
        <f>Calculate[[#This Row],[Freq]]</f>
        <v>4095000000</v>
      </c>
      <c r="B92">
        <v>-1.7329867056130301</v>
      </c>
      <c r="D92" s="1">
        <f t="shared" si="10"/>
        <v>-2.4599558318671204</v>
      </c>
      <c r="E92" s="1">
        <f t="shared" si="11"/>
        <v>-2.2293580501685319</v>
      </c>
      <c r="F92" s="1">
        <f t="shared" si="12"/>
        <v>-1.9691839411769474</v>
      </c>
      <c r="G92" s="1">
        <f t="shared" si="13"/>
        <v>-2.2652491886611585</v>
      </c>
      <c r="H92" s="1">
        <f t="shared" si="14"/>
        <v>-2.0258728652324121</v>
      </c>
      <c r="I92" s="1">
        <f>S$3*(((1+S$5*(T-20))*$A92)^S$4) + S$2*$A92</f>
        <v>-1.7329867056130301</v>
      </c>
      <c r="J92" s="66"/>
      <c r="K92" s="66"/>
      <c r="L92" s="1"/>
    </row>
    <row r="93" spans="1:12" x14ac:dyDescent="0.25">
      <c r="A93" s="1">
        <f>Calculate[[#This Row],[Freq]]</f>
        <v>4140000000</v>
      </c>
      <c r="B93">
        <v>-1.7445624455295463</v>
      </c>
      <c r="D93" s="1">
        <f t="shared" si="10"/>
        <v>-2.4753920080170095</v>
      </c>
      <c r="E93" s="1">
        <f t="shared" si="11"/>
        <v>-2.2435662827587053</v>
      </c>
      <c r="F93" s="1">
        <f t="shared" si="12"/>
        <v>-1.9827612401871311</v>
      </c>
      <c r="G93" s="1">
        <f t="shared" si="13"/>
        <v>-2.2823268306978597</v>
      </c>
      <c r="H93" s="1">
        <f t="shared" si="14"/>
        <v>-2.0376652396766364</v>
      </c>
      <c r="I93" s="1">
        <f>S$3*(((1+S$5*(T-20))*$A93)^S$4) + S$2*$A93</f>
        <v>-1.7445624455295463</v>
      </c>
      <c r="J93" s="66"/>
      <c r="K93" s="66"/>
      <c r="L93" s="1"/>
    </row>
    <row r="94" spans="1:12" x14ac:dyDescent="0.25">
      <c r="A94" s="1">
        <f>Calculate[[#This Row],[Freq]]</f>
        <v>4185000000</v>
      </c>
      <c r="B94">
        <v>-1.7560979277988977</v>
      </c>
      <c r="D94" s="1">
        <f t="shared" si="10"/>
        <v>-2.4907719391233991</v>
      </c>
      <c r="E94" s="1">
        <f t="shared" si="11"/>
        <v>-2.2577190445857904</v>
      </c>
      <c r="F94" s="1">
        <f t="shared" si="12"/>
        <v>-1.9962950794319207</v>
      </c>
      <c r="G94" s="1">
        <f t="shared" si="13"/>
        <v>-2.2993623438027422</v>
      </c>
      <c r="H94" s="1">
        <f t="shared" si="14"/>
        <v>-2.0494068321178389</v>
      </c>
      <c r="I94" s="1">
        <f>S$3*(((1+S$5*(T-20))*$A94)^S$4) + S$2*$A94</f>
        <v>-1.7560979277988977</v>
      </c>
      <c r="J94" s="66"/>
      <c r="K94" s="66"/>
      <c r="L94" s="1"/>
    </row>
    <row r="95" spans="1:12" x14ac:dyDescent="0.25">
      <c r="A95" s="1">
        <f>Calculate[[#This Row],[Freq]]</f>
        <v>4230000000</v>
      </c>
      <c r="B95">
        <v>-1.7675938000206424</v>
      </c>
      <c r="D95" s="1">
        <f t="shared" si="10"/>
        <v>-2.5060965598733054</v>
      </c>
      <c r="E95" s="1">
        <f t="shared" si="11"/>
        <v>-2.2718172279732136</v>
      </c>
      <c r="F95" s="1">
        <f t="shared" si="12"/>
        <v>-2.0097861580213436</v>
      </c>
      <c r="G95" s="1">
        <f t="shared" si="13"/>
        <v>-2.3163564056775492</v>
      </c>
      <c r="H95" s="1">
        <f t="shared" si="14"/>
        <v>-2.0610984864575608</v>
      </c>
      <c r="I95" s="1">
        <f>S$3*(((1+S$5*(T-20))*$A95)^S$4) + S$2*$A95</f>
        <v>-1.7675938000206424</v>
      </c>
      <c r="J95" s="66"/>
      <c r="K95" s="66"/>
      <c r="L95" s="1"/>
    </row>
    <row r="96" spans="1:12" x14ac:dyDescent="0.25">
      <c r="A96" s="1">
        <f>Calculate[[#This Row],[Freq]]</f>
        <v>4275000000</v>
      </c>
      <c r="B96">
        <v>-1.779050692615773</v>
      </c>
      <c r="D96" s="1">
        <f t="shared" si="10"/>
        <v>-2.5213667796705979</v>
      </c>
      <c r="E96" s="1">
        <f t="shared" si="11"/>
        <v>-2.285861701574162</v>
      </c>
      <c r="F96" s="1">
        <f t="shared" si="12"/>
        <v>-2.0232351565204705</v>
      </c>
      <c r="G96" s="1">
        <f t="shared" si="13"/>
        <v>-2.3333096760469503</v>
      </c>
      <c r="H96" s="1">
        <f t="shared" si="14"/>
        <v>-2.0727410237699289</v>
      </c>
      <c r="I96" s="1">
        <f>S$3*(((1+S$5*(T-20))*$A96)^S$4) + S$2*$A96</f>
        <v>-1.779050692615773</v>
      </c>
      <c r="J96" s="66"/>
      <c r="K96" s="66"/>
      <c r="L96" s="1"/>
    </row>
    <row r="97" spans="1:12" x14ac:dyDescent="0.25">
      <c r="A97" s="1">
        <f>Calculate[[#This Row],[Freq]]</f>
        <v>4320000000</v>
      </c>
      <c r="B97">
        <v>-1.7904692194579908</v>
      </c>
      <c r="D97" s="1">
        <f t="shared" si="10"/>
        <v>-2.5365834835781227</v>
      </c>
      <c r="E97" s="1">
        <f t="shared" si="11"/>
        <v>-2.2998533112414123</v>
      </c>
      <c r="F97" s="1">
        <f t="shared" si="12"/>
        <v>-2.0366427376308973</v>
      </c>
      <c r="G97" s="1">
        <f t="shared" si="13"/>
        <v>-2.3502227973191623</v>
      </c>
      <c r="H97" s="1">
        <f t="shared" si="14"/>
        <v>-2.0843352431522741</v>
      </c>
      <c r="I97" s="1">
        <f>S$3*(((1+S$5*(T-20))*$A97)^S$4) + S$2*$A97</f>
        <v>-1.7904692194579908</v>
      </c>
      <c r="J97" s="66"/>
      <c r="K97" s="66"/>
      <c r="L97" s="1"/>
    </row>
    <row r="98" spans="1:12" x14ac:dyDescent="0.25">
      <c r="A98" s="1">
        <f>Calculate[[#This Row],[Freq]]</f>
        <v>4365000000</v>
      </c>
      <c r="B98">
        <v>-1.8018499784754627</v>
      </c>
      <c r="D98" s="1">
        <f t="shared" ref="D98:D129" si="15">N$3*(((1+N$5*(T-20))*$A98)^N$4) + N$2*$A98</f>
        <v>-2.5517475332152912</v>
      </c>
      <c r="E98" s="1">
        <f t="shared" ref="E98:E129" si="16">O$3*(((1+O$5*(T-20))*$A98)^O$4) + O$2*$A98</f>
        <v>-2.3137928808564898</v>
      </c>
      <c r="F98" s="1">
        <f t="shared" ref="F98:F129" si="17">P$3*(((1+P$5*(T-20))*$A98)^P$4) + P$2*$A98</f>
        <v>-2.0500095468403683</v>
      </c>
      <c r="G98" s="1">
        <f t="shared" ref="G98:G129" si="18">Q$3*(((1+Q$5*(T-20))*$A98)^Q$4) + Q$2*$A98</f>
        <v>-2.3670963952156763</v>
      </c>
      <c r="H98" s="1">
        <f t="shared" ref="H98:H129" si="19">R$3*(((1+R$5*(T-20))*$A98)^R$4) + R$2*$A98</f>
        <v>-2.0958819225355376</v>
      </c>
      <c r="I98" s="1">
        <f>S$3*(((1+S$5*(T-20))*$A98)^S$4) + S$2*$A98</f>
        <v>-1.8018499784754627</v>
      </c>
      <c r="J98" s="66"/>
      <c r="K98" s="66"/>
      <c r="L98" s="1"/>
    </row>
    <row r="99" spans="1:12" x14ac:dyDescent="0.25">
      <c r="A99" s="1">
        <f>Calculate[[#This Row],[Freq]]</f>
        <v>4410000000</v>
      </c>
      <c r="B99">
        <v>-1.8131935522247318</v>
      </c>
      <c r="D99" s="1">
        <f t="shared" si="15"/>
        <v>-2.5668597676137002</v>
      </c>
      <c r="E99" s="1">
        <f t="shared" si="16"/>
        <v>-2.3276812131204516</v>
      </c>
      <c r="F99" s="1">
        <f t="shared" si="17"/>
        <v>-2.0633362130423354</v>
      </c>
      <c r="G99" s="1">
        <f t="shared" si="18"/>
        <v>-2.3839310793718425</v>
      </c>
      <c r="H99" s="1">
        <f t="shared" si="19"/>
        <v>-2.1073818194567817</v>
      </c>
      <c r="I99" s="1">
        <f>S$3*(((1+S$5*(T-20))*$A99)^S$4) + S$2*$A99</f>
        <v>-1.8131935522247318</v>
      </c>
      <c r="J99" s="66"/>
      <c r="K99" s="66"/>
      <c r="L99" s="1"/>
    </row>
    <row r="100" spans="1:12" x14ac:dyDescent="0.25">
      <c r="A100" s="1">
        <f>Calculate[[#This Row],[Freq]]</f>
        <v>4455000000</v>
      </c>
      <c r="B100">
        <v>-1.8245005084383379</v>
      </c>
      <c r="D100" s="1">
        <f t="shared" si="15"/>
        <v>-2.5819210040331098</v>
      </c>
      <c r="E100" s="1">
        <f t="shared" si="16"/>
        <v>-2.3415190903084531</v>
      </c>
      <c r="F100" s="1">
        <f t="shared" si="17"/>
        <v>-2.0766233491271362</v>
      </c>
      <c r="G100" s="1">
        <f t="shared" si="18"/>
        <v>-2.4007274439099495</v>
      </c>
      <c r="H100" s="1">
        <f t="shared" si="19"/>
        <v>-2.118835671795916</v>
      </c>
      <c r="I100" s="1">
        <f>S$3*(((1+S$5*(T-20))*$A100)^S$4) + S$2*$A100</f>
        <v>-1.8245005084383379</v>
      </c>
      <c r="J100" s="66"/>
      <c r="K100" s="66"/>
      <c r="L100" s="1"/>
    </row>
    <row r="101" spans="1:12" x14ac:dyDescent="0.25">
      <c r="A101" s="1">
        <f>Calculate[[#This Row],[Freq]]</f>
        <v>4500000000</v>
      </c>
      <c r="B101">
        <v>-1.83577140054761</v>
      </c>
      <c r="D101" s="1">
        <f t="shared" si="15"/>
        <v>-2.5969320387400381</v>
      </c>
      <c r="E101" s="1">
        <f t="shared" si="16"/>
        <v>-2.3553072749901021</v>
      </c>
      <c r="F101" s="1">
        <f t="shared" si="17"/>
        <v>-2.0898715525463718</v>
      </c>
      <c r="G101" s="1">
        <f t="shared" si="18"/>
        <v>-2.4174860679863164</v>
      </c>
      <c r="H101" s="1">
        <f t="shared" si="19"/>
        <v>-2.1302441984786671</v>
      </c>
      <c r="I101" s="1">
        <f>S$3*(((1+S$5*(T-20))*$A101)^S$4) + S$2*$A101</f>
        <v>-1.83577140054761</v>
      </c>
      <c r="J101" s="66"/>
      <c r="K101" s="66"/>
      <c r="L101" s="1"/>
    </row>
    <row r="102" spans="1:12" x14ac:dyDescent="0.25">
      <c r="A102" s="1">
        <f>Calculate[[#This Row],[Freq]]</f>
        <v>4545000000</v>
      </c>
      <c r="B102">
        <v>-1.8470067681819891</v>
      </c>
      <c r="D102" s="1">
        <f t="shared" si="15"/>
        <v>-2.6118936477510144</v>
      </c>
      <c r="E102" s="1">
        <f t="shared" si="16"/>
        <v>-2.369046510717467</v>
      </c>
      <c r="F102" s="1">
        <f t="shared" si="17"/>
        <v>-2.1030814058519431</v>
      </c>
      <c r="G102" s="1">
        <f t="shared" si="18"/>
        <v>-2.4342075163138244</v>
      </c>
      <c r="H102" s="1">
        <f t="shared" si="19"/>
        <v>-2.1416081001476384</v>
      </c>
      <c r="I102" s="1">
        <f>S$3*(((1+S$5*(T-20))*$A102)^S$4) + S$2*$A102</f>
        <v>-1.8470067681819891</v>
      </c>
      <c r="J102" s="66"/>
      <c r="K102" s="66"/>
      <c r="L102" s="1"/>
    </row>
    <row r="103" spans="1:12" x14ac:dyDescent="0.25">
      <c r="A103" s="1">
        <f>Calculate[[#This Row],[Freq]]</f>
        <v>4590000000</v>
      </c>
      <c r="B103">
        <v>-1.8582071376461564</v>
      </c>
      <c r="D103" s="1">
        <f t="shared" si="15"/>
        <v>-2.6268065875424469</v>
      </c>
      <c r="E103" s="1">
        <f t="shared" si="16"/>
        <v>-2.3827375226825138</v>
      </c>
      <c r="F103" s="1">
        <f t="shared" si="17"/>
        <v>-2.1162534772111323</v>
      </c>
      <c r="G103" s="1">
        <f t="shared" si="18"/>
        <v>-2.4508923396612241</v>
      </c>
      <c r="H103" s="1">
        <f t="shared" si="19"/>
        <v>-2.1529280598032301</v>
      </c>
      <c r="I103" s="1">
        <f>S$3*(((1+S$5*(T-20))*$A103)^S$4) + S$2*$A103</f>
        <v>-1.8582071376461564</v>
      </c>
      <c r="J103" s="66"/>
      <c r="K103" s="66"/>
      <c r="L103" s="1"/>
    </row>
    <row r="104" spans="1:12" x14ac:dyDescent="0.25">
      <c r="A104" s="1">
        <f>Calculate[[#This Row],[Freq]]</f>
        <v>4635000000</v>
      </c>
      <c r="B104">
        <v>-1.8693730223761622</v>
      </c>
      <c r="D104" s="1">
        <f t="shared" si="15"/>
        <v>-2.641671595728901</v>
      </c>
      <c r="E104" s="1">
        <f t="shared" si="16"/>
        <v>-2.3963810183456018</v>
      </c>
      <c r="F104" s="1">
        <f t="shared" si="17"/>
        <v>-2.1293883208990119</v>
      </c>
      <c r="G104" s="1">
        <f t="shared" si="18"/>
        <v>-2.4675410753304656</v>
      </c>
      <c r="H104" s="1">
        <f t="shared" si="19"/>
        <v>-2.1642047434160383</v>
      </c>
      <c r="I104" s="1">
        <f>S$3*(((1+S$5*(T-20))*$A104)^S$4) + S$2*$A104</f>
        <v>-1.8693730223761622</v>
      </c>
      <c r="J104" s="66"/>
      <c r="K104" s="66"/>
      <c r="L104" s="1"/>
    </row>
    <row r="105" spans="1:12" x14ac:dyDescent="0.25">
      <c r="A105" s="1">
        <f>Calculate[[#This Row],[Freq]]</f>
        <v>4680000000</v>
      </c>
      <c r="B105">
        <v>-1.8805049233756748</v>
      </c>
      <c r="D105" s="1">
        <f t="shared" si="15"/>
        <v>-2.65648939171149</v>
      </c>
      <c r="E105" s="1">
        <f t="shared" si="16"/>
        <v>-2.4099776880365869</v>
      </c>
      <c r="F105" s="1">
        <f t="shared" si="17"/>
        <v>-2.1424864777693928</v>
      </c>
      <c r="G105" s="1">
        <f t="shared" si="18"/>
        <v>-2.4841542476132279</v>
      </c>
      <c r="H105" s="1">
        <f t="shared" si="19"/>
        <v>-2.1754388005122647</v>
      </c>
      <c r="I105" s="1">
        <f>S$3*(((1+S$5*(T-20))*$A105)^S$4) + S$2*$A105</f>
        <v>-1.8805049233756748</v>
      </c>
      <c r="J105" s="66"/>
      <c r="K105" s="66"/>
      <c r="L105" s="1"/>
    </row>
    <row r="106" spans="1:12" x14ac:dyDescent="0.25">
      <c r="A106" s="1">
        <f>Calculate[[#This Row],[Freq]]</f>
        <v>4725000000</v>
      </c>
      <c r="B106">
        <v>-1.8916033296333974</v>
      </c>
      <c r="D106" s="1">
        <f t="shared" si="15"/>
        <v>-2.6712606772979899</v>
      </c>
      <c r="E106" s="1">
        <f t="shared" si="16"/>
        <v>-2.4235282055299803</v>
      </c>
      <c r="F106" s="1">
        <f t="shared" si="17"/>
        <v>-2.1555484757054431</v>
      </c>
      <c r="G106" s="1">
        <f t="shared" si="18"/>
        <v>-2.5007323682277356</v>
      </c>
      <c r="H106" s="1">
        <f t="shared" si="19"/>
        <v>-2.186630864733603</v>
      </c>
      <c r="I106" s="1">
        <f>S$3*(((1+S$5*(T-20))*$A106)^S$4) + S$2*$A106</f>
        <v>-1.8916033296333974</v>
      </c>
      <c r="J106" s="66"/>
      <c r="K106" s="66"/>
      <c r="L106" s="1"/>
    </row>
    <row r="107" spans="1:12" x14ac:dyDescent="0.25">
      <c r="A107" s="1">
        <f>Calculate[[#This Row],[Freq]]</f>
        <v>4770000000</v>
      </c>
      <c r="B107">
        <v>-1.9026687185226345</v>
      </c>
      <c r="D107" s="1">
        <f t="shared" si="15"/>
        <v>-2.6859861372961249</v>
      </c>
      <c r="E107" s="1">
        <f t="shared" si="16"/>
        <v>-2.4370332285955052</v>
      </c>
      <c r="F107" s="1">
        <f t="shared" si="17"/>
        <v>-2.1685748300510355</v>
      </c>
      <c r="G107" s="1">
        <f t="shared" si="18"/>
        <v>-2.5172759367368984</v>
      </c>
      <c r="H107" s="1">
        <f t="shared" si="19"/>
        <v>-2.1977815543728974</v>
      </c>
      <c r="I107" s="1">
        <f>S$3*(((1+S$5*(T-20))*$A107)^S$4) + S$2*$A107</f>
        <v>-1.9026687185226345</v>
      </c>
      <c r="J107" s="66"/>
      <c r="K107" s="66"/>
      <c r="L107" s="1"/>
    </row>
    <row r="108" spans="1:12" x14ac:dyDescent="0.25">
      <c r="A108" s="1">
        <f>Calculate[[#This Row],[Freq]]</f>
        <v>4815000000</v>
      </c>
      <c r="B108">
        <v>-1.913701556183937</v>
      </c>
      <c r="D108" s="1">
        <f t="shared" si="15"/>
        <v>-2.7006664400814735</v>
      </c>
      <c r="E108" s="1">
        <f t="shared" si="16"/>
        <v>-2.4504933995253451</v>
      </c>
      <c r="F108" s="1">
        <f t="shared" si="17"/>
        <v>-2.1815660440238296</v>
      </c>
      <c r="G108" s="1">
        <f t="shared" si="18"/>
        <v>-2.5337854409487459</v>
      </c>
      <c r="H108" s="1">
        <f t="shared" si="19"/>
        <v>-2.2088914728868891</v>
      </c>
      <c r="I108" s="1">
        <f>S$3*(((1+S$5*(T-20))*$A108)^S$4) + S$2*$A108</f>
        <v>-1.913701556183937</v>
      </c>
      <c r="J108" s="66"/>
      <c r="K108" s="66"/>
      <c r="L108" s="1"/>
    </row>
    <row r="109" spans="1:12" x14ac:dyDescent="0.25">
      <c r="A109" s="1">
        <f>Calculate[[#This Row],[Freq]]</f>
        <v>4860000000</v>
      </c>
      <c r="B109">
        <v>-1.924702297891691</v>
      </c>
      <c r="D109" s="1">
        <f t="shared" si="15"/>
        <v>-2.7153022381412586</v>
      </c>
      <c r="E109" s="1">
        <f t="shared" si="16"/>
        <v>-2.4639093456392613</v>
      </c>
      <c r="F109" s="1">
        <f t="shared" si="17"/>
        <v>-2.1945226091110186</v>
      </c>
      <c r="G109" s="1">
        <f t="shared" si="18"/>
        <v>-2.5502613573000517</v>
      </c>
      <c r="H109" s="1">
        <f t="shared" si="19"/>
        <v>-2.2199612093871868</v>
      </c>
      <c r="I109" s="1">
        <f>S$3*(((1+S$5*(T-20))*$A109)^S$4) + S$2*$A109</f>
        <v>-1.924702297891691</v>
      </c>
      <c r="J109" s="66"/>
      <c r="K109" s="66"/>
      <c r="L109" s="1"/>
    </row>
    <row r="110" spans="1:12" x14ac:dyDescent="0.25">
      <c r="A110" s="1">
        <f>Calculate[[#This Row],[Freq]]</f>
        <v>4905000000</v>
      </c>
      <c r="B110">
        <v>-1.9356713884054648</v>
      </c>
      <c r="D110" s="1">
        <f t="shared" si="15"/>
        <v>-2.7298941685953237</v>
      </c>
      <c r="E110" s="1">
        <f t="shared" si="16"/>
        <v>-2.4772816797687129</v>
      </c>
      <c r="F110" s="1">
        <f t="shared" si="17"/>
        <v>-2.2074450054486237</v>
      </c>
      <c r="G110" s="1">
        <f t="shared" si="18"/>
        <v>-2.5667041512240161</v>
      </c>
      <c r="H110" s="1">
        <f t="shared" si="19"/>
        <v>-2.2309913391106453</v>
      </c>
      <c r="I110" s="1">
        <f>S$3*(((1+S$5*(T-20))*$A110)^S$4) + S$2*$A110</f>
        <v>-1.9356713884054648</v>
      </c>
      <c r="J110" s="66"/>
      <c r="K110" s="66"/>
      <c r="L110" s="1"/>
    </row>
    <row r="111" spans="1:12" x14ac:dyDescent="0.25">
      <c r="A111" s="1">
        <f>Calculate[[#This Row],[Freq]]</f>
        <v>4950000000</v>
      </c>
      <c r="B111">
        <v>-1.9466092623068849</v>
      </c>
      <c r="D111" s="1">
        <f t="shared" si="15"/>
        <v>-2.7444428536953911</v>
      </c>
      <c r="E111" s="1">
        <f t="shared" si="16"/>
        <v>-2.4906110007210347</v>
      </c>
      <c r="F111" s="1">
        <f t="shared" si="17"/>
        <v>-2.2203337021851626</v>
      </c>
      <c r="G111" s="1">
        <f t="shared" si="18"/>
        <v>-2.5831142775027987</v>
      </c>
      <c r="H111" s="1">
        <f t="shared" si="19"/>
        <v>-2.2419824238701245</v>
      </c>
      <c r="I111" s="1">
        <f>S$3*(((1+S$5*(T-20))*$A111)^S$4) + S$2*$A111</f>
        <v>-1.9466092623068849</v>
      </c>
      <c r="J111" s="66"/>
      <c r="K111" s="66"/>
      <c r="L111" s="1"/>
    </row>
    <row r="112" spans="1:12" x14ac:dyDescent="0.25">
      <c r="A112" s="1">
        <f>Calculate[[#This Row],[Freq]]</f>
        <v>4995000000</v>
      </c>
      <c r="B112">
        <v>-1.957516344322761</v>
      </c>
      <c r="D112" s="1">
        <f t="shared" si="15"/>
        <v>-2.7589489013036999</v>
      </c>
      <c r="E112" s="1">
        <f t="shared" si="16"/>
        <v>-2.5038978937246723</v>
      </c>
      <c r="F112" s="1">
        <f t="shared" si="17"/>
        <v>-2.2331891578304788</v>
      </c>
      <c r="G112" s="1">
        <f t="shared" si="18"/>
        <v>-2.5994921806056626</v>
      </c>
      <c r="H112" s="1">
        <f t="shared" si="19"/>
        <v>-2.2529350124866445</v>
      </c>
      <c r="I112" s="1">
        <f>S$3*(((1+S$5*(T-20))*$A112)^S$4) + S$2*$A112</f>
        <v>-1.957516344322761</v>
      </c>
      <c r="J112" s="66"/>
      <c r="K112" s="66"/>
      <c r="L112" s="1"/>
    </row>
    <row r="113" spans="1:12" x14ac:dyDescent="0.25">
      <c r="A113" s="1">
        <f>Calculate[[#This Row],[Freq]]</f>
        <v>5040000000</v>
      </c>
      <c r="B113">
        <v>-1.9683930496351378</v>
      </c>
      <c r="D113" s="1">
        <f t="shared" si="15"/>
        <v>-2.7734129053521155</v>
      </c>
      <c r="E113" s="1">
        <f t="shared" si="16"/>
        <v>-2.5171429308563975</v>
      </c>
      <c r="F113" s="1">
        <f t="shared" si="17"/>
        <v>-2.2460118205904553</v>
      </c>
      <c r="G113" s="1">
        <f t="shared" si="18"/>
        <v>-2.6158382950134405</v>
      </c>
      <c r="H113" s="1">
        <f t="shared" si="19"/>
        <v>-2.2638496412038962</v>
      </c>
      <c r="I113" s="1">
        <f>S$3*(((1+S$5*(T-20))*$A113)^S$4) + S$2*$A113</f>
        <v>-1.9683930496351378</v>
      </c>
      <c r="J113" s="66"/>
      <c r="K113" s="66"/>
      <c r="L113" s="1"/>
    </row>
    <row r="114" spans="1:12" x14ac:dyDescent="0.25">
      <c r="A114" s="1">
        <f>Calculate[[#This Row],[Freq]]</f>
        <v>5085000000</v>
      </c>
      <c r="B114">
        <v>-1.9792397841789193</v>
      </c>
      <c r="D114" s="1">
        <f t="shared" si="15"/>
        <v>-2.7878354462826129</v>
      </c>
      <c r="E114" s="1">
        <f t="shared" si="16"/>
        <v>-2.5303466714514049</v>
      </c>
      <c r="F114" s="1">
        <f t="shared" si="17"/>
        <v>-2.2588021286883095</v>
      </c>
      <c r="G114" s="1">
        <f t="shared" si="18"/>
        <v>-2.6321530455299929</v>
      </c>
      <c r="H114" s="1">
        <f t="shared" si="19"/>
        <v>-2.2747268340859454</v>
      </c>
      <c r="I114" s="1">
        <f>S$3*(((1+S$5*(T-20))*$A114)^S$4) + S$2*$A114</f>
        <v>-1.9792397841789193</v>
      </c>
      <c r="J114" s="66"/>
      <c r="K114" s="66"/>
      <c r="L114" s="1"/>
    </row>
    <row r="115" spans="1:12" x14ac:dyDescent="0.25">
      <c r="A115" s="1">
        <f>Calculate[[#This Row],[Freq]]</f>
        <v>5130000000</v>
      </c>
      <c r="B115">
        <v>-1.9900569449276668</v>
      </c>
      <c r="D115" s="1">
        <f t="shared" si="15"/>
        <v>-2.8022170914700406</v>
      </c>
      <c r="E115" s="1">
        <f t="shared" si="16"/>
        <v>-2.5435096624971085</v>
      </c>
      <c r="F115" s="1">
        <f t="shared" si="17"/>
        <v>-2.271560510673126</v>
      </c>
      <c r="G115" s="1">
        <f t="shared" si="18"/>
        <v>-2.6484368475812881</v>
      </c>
      <c r="H115" s="1">
        <f t="shared" si="19"/>
        <v>-2.2855671033989298</v>
      </c>
      <c r="I115" s="1">
        <f>S$3*(((1+S$5*(T-20))*$A115)^S$4) + S$2*$A115</f>
        <v>-1.9900569449276668</v>
      </c>
      <c r="J115" s="66"/>
      <c r="K115" s="66"/>
      <c r="L115" s="1"/>
    </row>
    <row r="116" spans="1:12" x14ac:dyDescent="0.25">
      <c r="A116" s="1">
        <f>Calculate[[#This Row],[Freq]]</f>
        <v>5175000000</v>
      </c>
      <c r="B116">
        <v>-2.0008449201681331</v>
      </c>
      <c r="D116" s="1">
        <f t="shared" si="15"/>
        <v>-2.8165583956281037</v>
      </c>
      <c r="E116" s="1">
        <f t="shared" si="16"/>
        <v>-2.5566324390114255</v>
      </c>
      <c r="F116" s="1">
        <f t="shared" si="17"/>
        <v>-2.2842873857162274</v>
      </c>
      <c r="G116" s="1">
        <f t="shared" si="18"/>
        <v>-2.6646901075027012</v>
      </c>
      <c r="H116" s="1">
        <f t="shared" si="19"/>
        <v>-2.2963709499776148</v>
      </c>
      <c r="I116" s="1">
        <f>S$3*(((1+S$5*(T-20))*$A116)^S$4) + S$2*$A116</f>
        <v>-2.0008449201681331</v>
      </c>
      <c r="J116" s="66"/>
      <c r="K116" s="66"/>
      <c r="L116" s="1"/>
    </row>
    <row r="117" spans="1:12" x14ac:dyDescent="0.25">
      <c r="A117" s="1">
        <f>Calculate[[#This Row],[Freq]]</f>
        <v>5220000000</v>
      </c>
      <c r="B117">
        <v>-2.0116040897640866</v>
      </c>
      <c r="D117" s="1">
        <f t="shared" si="15"/>
        <v>-2.830859901199259</v>
      </c>
      <c r="E117" s="1">
        <f t="shared" si="16"/>
        <v>-2.5697155244062921</v>
      </c>
      <c r="F117" s="1">
        <f t="shared" si="17"/>
        <v>-2.2969831638959812</v>
      </c>
      <c r="G117" s="1">
        <f t="shared" si="18"/>
        <v>-2.6809132228150983</v>
      </c>
      <c r="H117" s="1">
        <f t="shared" si="19"/>
        <v>-2.3071388635774106</v>
      </c>
      <c r="I117" s="1">
        <f>S$3*(((1+S$5*(T-20))*$A117)^S$4) + S$2*$A117</f>
        <v>-2.0116040897640866</v>
      </c>
      <c r="J117" s="66"/>
      <c r="K117" s="66"/>
      <c r="L117" s="1"/>
    </row>
    <row r="118" spans="1:12" x14ac:dyDescent="0.25">
      <c r="A118" s="1">
        <f>Calculate[[#This Row],[Freq]]</f>
        <v>5265000000</v>
      </c>
      <c r="B118">
        <v>-2.0223348254099136</v>
      </c>
      <c r="D118" s="1">
        <f t="shared" si="15"/>
        <v>-2.845122138729423</v>
      </c>
      <c r="E118" s="1">
        <f t="shared" si="16"/>
        <v>-2.5827594308371067</v>
      </c>
      <c r="F118" s="1">
        <f t="shared" si="17"/>
        <v>-2.3096482464715766</v>
      </c>
      <c r="G118" s="1">
        <f t="shared" si="18"/>
        <v>-2.6971065824902309</v>
      </c>
      <c r="H118" s="1">
        <f t="shared" si="19"/>
        <v>-2.3178713232126933</v>
      </c>
      <c r="I118" s="1">
        <f>S$3*(((1+S$5*(T-20))*$A118)^S$4) + S$2*$A118</f>
        <v>-2.0223348254099136</v>
      </c>
      <c r="J118" s="66"/>
      <c r="K118" s="66"/>
      <c r="L118" s="1"/>
    </row>
    <row r="119" spans="1:12" x14ac:dyDescent="0.25">
      <c r="A119" s="1">
        <f>Calculate[[#This Row],[Freq]]</f>
        <v>5310000000</v>
      </c>
      <c r="B119">
        <v>-2.0330374908744937</v>
      </c>
      <c r="D119" s="1">
        <f t="shared" si="15"/>
        <v>-2.8593456272280608</v>
      </c>
      <c r="E119" s="1">
        <f t="shared" si="16"/>
        <v>-2.5957646595387565</v>
      </c>
      <c r="F119" s="1">
        <f t="shared" si="17"/>
        <v>-2.3222830261462941</v>
      </c>
      <c r="G119" s="1">
        <f t="shared" si="18"/>
        <v>-2.7132705672059405</v>
      </c>
      <c r="H119" s="1">
        <f t="shared" si="19"/>
        <v>-2.3285687974819127</v>
      </c>
      <c r="I119" s="1">
        <f>S$3*(((1+S$5*(T-20))*$A119)^S$4) + S$2*$A119</f>
        <v>-2.0330374908744937</v>
      </c>
      <c r="J119" s="66"/>
      <c r="K119" s="66"/>
      <c r="L119" s="1"/>
    </row>
    <row r="120" spans="1:12" x14ac:dyDescent="0.25">
      <c r="A120" s="1">
        <f>Calculate[[#This Row],[Freq]]</f>
        <v>5355000000</v>
      </c>
      <c r="B120">
        <v>-2.0437124422357873</v>
      </c>
      <c r="D120" s="1">
        <f t="shared" si="15"/>
        <v>-2.8735308745145032</v>
      </c>
      <c r="E120" s="1">
        <f t="shared" si="16"/>
        <v>-2.6087317011488627</v>
      </c>
      <c r="F120" s="1">
        <f t="shared" si="17"/>
        <v>-2.3348878873207575</v>
      </c>
      <c r="G120" s="1">
        <f t="shared" si="18"/>
        <v>-2.7294055495916592</v>
      </c>
      <c r="H120" s="1">
        <f t="shared" si="19"/>
        <v>-2.3392317448802751</v>
      </c>
      <c r="I120" s="1">
        <f>S$3*(((1+S$5*(T-20))*$A120)^S$4) + S$2*$A120</f>
        <v>-2.0437124422357873</v>
      </c>
      <c r="J120" s="66"/>
      <c r="K120" s="66"/>
      <c r="L120" s="1"/>
    </row>
    <row r="121" spans="1:12" x14ac:dyDescent="0.25">
      <c r="A121" s="1">
        <f>Calculate[[#This Row],[Freq]]</f>
        <v>5400000000</v>
      </c>
      <c r="B121">
        <v>-2.0543600281065766</v>
      </c>
      <c r="D121" s="1">
        <f t="shared" si="15"/>
        <v>-2.8876783775509907</v>
      </c>
      <c r="E121" s="1">
        <f t="shared" si="16"/>
        <v>-2.6216610360188231</v>
      </c>
      <c r="F121" s="1">
        <f t="shared" si="17"/>
        <v>-2.3474632063366254</v>
      </c>
      <c r="G121" s="1">
        <f t="shared" si="18"/>
        <v>-2.7455118944646362</v>
      </c>
      <c r="H121" s="1">
        <f t="shared" si="19"/>
        <v>-2.3498606141004359</v>
      </c>
      <c r="I121" s="1">
        <f>S$3*(((1+S$5*(T-20))*$A121)^S$4) + S$2*$A121</f>
        <v>-2.0543600281065766</v>
      </c>
      <c r="J121" s="66"/>
      <c r="K121" s="66"/>
      <c r="L121" s="1"/>
    </row>
    <row r="122" spans="1:12" x14ac:dyDescent="0.25">
      <c r="A122" s="1">
        <f>Calculate[[#This Row],[Freq]]</f>
        <v>5445000000</v>
      </c>
      <c r="B122">
        <v>-2.0649805898517566</v>
      </c>
      <c r="D122" s="1">
        <f t="shared" si="15"/>
        <v>-2.901788622763144</v>
      </c>
      <c r="E122" s="1">
        <f t="shared" si="16"/>
        <v>-2.6345531345132129</v>
      </c>
      <c r="F122" s="1">
        <f t="shared" si="17"/>
        <v>-2.360009351711168</v>
      </c>
      <c r="G122" s="1">
        <f t="shared" si="18"/>
        <v>-2.7615899590573321</v>
      </c>
      <c r="H122" s="1">
        <f t="shared" si="19"/>
        <v>-2.3604558443218484</v>
      </c>
      <c r="I122" s="1">
        <f>S$3*(((1+S$5*(T-20))*$A122)^S$4) + S$2*$A122</f>
        <v>-2.0649805898517566</v>
      </c>
      <c r="J122" s="66"/>
      <c r="K122" s="66"/>
      <c r="L122" s="1"/>
    </row>
    <row r="123" spans="1:12" x14ac:dyDescent="0.25">
      <c r="A123" s="1">
        <f>Calculate[[#This Row],[Freq]]</f>
        <v>5490000000</v>
      </c>
      <c r="B123">
        <v>-2.0755744617975571</v>
      </c>
      <c r="D123" s="1">
        <f t="shared" si="15"/>
        <v>-2.9158620863484046</v>
      </c>
      <c r="E123" s="1">
        <f t="shared" si="16"/>
        <v>-2.6474084572980798</v>
      </c>
      <c r="F123" s="1">
        <f t="shared" si="17"/>
        <v>-2.3725266843631316</v>
      </c>
      <c r="G123" s="1">
        <f t="shared" si="18"/>
        <v>-2.7776400932363687</v>
      </c>
      <c r="H123" s="1">
        <f t="shared" si="19"/>
        <v>-2.3710178654892387</v>
      </c>
      <c r="I123" s="1">
        <f>S$3*(((1+S$5*(T-20))*$A123)^S$4) + S$2*$A123</f>
        <v>-2.0755744617975571</v>
      </c>
      <c r="J123" s="66"/>
      <c r="K123" s="66"/>
      <c r="L123" s="1"/>
    </row>
    <row r="124" spans="1:12" x14ac:dyDescent="0.25">
      <c r="A124" s="1">
        <f>Calculate[[#This Row],[Freq]]</f>
        <v>5535000000</v>
      </c>
      <c r="B124">
        <v>-2.08614197143307</v>
      </c>
      <c r="D124" s="1">
        <f t="shared" si="15"/>
        <v>-2.9298992345730208</v>
      </c>
      <c r="E124" s="1">
        <f t="shared" si="16"/>
        <v>-2.6602274556186156</v>
      </c>
      <c r="F124" s="1">
        <f t="shared" si="17"/>
        <v>-2.3850155578302923</v>
      </c>
      <c r="G124" s="1">
        <f t="shared" si="18"/>
        <v>-2.7936626397134172</v>
      </c>
      <c r="H124" s="1">
        <f t="shared" si="19"/>
        <v>-2.3815470985807514</v>
      </c>
      <c r="I124" s="1">
        <f>S$3*(((1+S$5*(T-20))*$A124)^S$4) + S$2*$A124</f>
        <v>-2.08614197143307</v>
      </c>
      <c r="J124" s="66"/>
      <c r="K124" s="66"/>
      <c r="L124" s="1"/>
    </row>
    <row r="125" spans="1:12" x14ac:dyDescent="0.25">
      <c r="A125" s="1">
        <f>Calculate[[#This Row],[Freq]]</f>
        <v>5580000000</v>
      </c>
      <c r="B125">
        <v>-2.0966834396044121</v>
      </c>
      <c r="D125" s="1">
        <f t="shared" si="15"/>
        <v>-2.9439005240580167</v>
      </c>
      <c r="E125" s="1">
        <f t="shared" si="16"/>
        <v>-2.6730105715667039</v>
      </c>
      <c r="F125" s="1">
        <f t="shared" si="17"/>
        <v>-2.3974763184790677</v>
      </c>
      <c r="G125" s="1">
        <f t="shared" si="18"/>
        <v>-2.8096579342483943</v>
      </c>
      <c r="H125" s="1">
        <f t="shared" si="19"/>
        <v>-2.3920439558661406</v>
      </c>
      <c r="I125" s="1">
        <f>S$3*(((1+S$5*(T-20))*$A125)^S$4) + S$2*$A125</f>
        <v>-2.0966834396044121</v>
      </c>
      <c r="J125" s="66"/>
      <c r="K125" s="66"/>
      <c r="L125" s="1"/>
    </row>
    <row r="126" spans="1:12" x14ac:dyDescent="0.25">
      <c r="A126" s="1">
        <f>Calculate[[#This Row],[Freq]]</f>
        <v>5625000000</v>
      </c>
      <c r="B126">
        <v>-2.1071991807018597</v>
      </c>
      <c r="D126" s="1">
        <f t="shared" si="15"/>
        <v>-2.95786640205475</v>
      </c>
      <c r="E126" s="1">
        <f t="shared" si="16"/>
        <v>-2.6857582383387597</v>
      </c>
      <c r="F126" s="1">
        <f t="shared" si="17"/>
        <v>-2.4099093057065306</v>
      </c>
      <c r="G126" s="1">
        <f t="shared" si="18"/>
        <v>-2.825626305845288</v>
      </c>
      <c r="H126" s="1">
        <f t="shared" si="19"/>
        <v>-2.4025088411555617</v>
      </c>
      <c r="I126" s="1">
        <f>S$3*(((1+S$5*(T-20))*$A126)^S$4) + S$2*$A126</f>
        <v>-2.1071991807018597</v>
      </c>
      <c r="J126" s="66"/>
      <c r="K126" s="66"/>
      <c r="L126" s="1"/>
    </row>
    <row r="127" spans="1:12" x14ac:dyDescent="0.25">
      <c r="A127" s="1">
        <f>Calculate[[#This Row],[Freq]]</f>
        <v>5670000000</v>
      </c>
      <c r="B127">
        <v>-2.1176895028402569</v>
      </c>
      <c r="D127" s="1">
        <f t="shared" si="15"/>
        <v>-2.9717973067104282</v>
      </c>
      <c r="E127" s="1">
        <f t="shared" si="16"/>
        <v>-2.6984708804843223</v>
      </c>
      <c r="F127" s="1">
        <f t="shared" si="17"/>
        <v>-2.4223148521351714</v>
      </c>
      <c r="G127" s="1">
        <f t="shared" si="18"/>
        <v>-2.8415680769409564</v>
      </c>
      <c r="H127" s="1">
        <f t="shared" si="19"/>
        <v>-2.4129421500393007</v>
      </c>
      <c r="I127" s="1">
        <f>S$3*(((1+S$5*(T-20))*$A127)^S$4) + S$2*$A127</f>
        <v>-2.1176895028402569</v>
      </c>
      <c r="J127" s="66"/>
      <c r="K127" s="66"/>
      <c r="L127" s="1"/>
    </row>
    <row r="128" spans="1:12" x14ac:dyDescent="0.25">
      <c r="A128" s="1">
        <f>Calculate[[#This Row],[Freq]]</f>
        <v>5715000000</v>
      </c>
      <c r="B128">
        <v>-2.1281547080329952</v>
      </c>
      <c r="D128" s="1">
        <f t="shared" si="15"/>
        <v>-2.9856936673240586</v>
      </c>
      <c r="E128" s="1">
        <f t="shared" si="16"/>
        <v>-2.7111489141457765</v>
      </c>
      <c r="F128" s="1">
        <f t="shared" si="17"/>
        <v>-2.4346932838007138</v>
      </c>
      <c r="G128" s="1">
        <f t="shared" si="18"/>
        <v>-2.8574835635871931</v>
      </c>
      <c r="H128" s="1">
        <f t="shared" si="19"/>
        <v>-2.4233442701188626</v>
      </c>
      <c r="I128" s="1">
        <f>S$3*(((1+S$5*(T-20))*$A128)^S$4) + S$2*$A128</f>
        <v>-2.1281547080329952</v>
      </c>
      <c r="J128" s="66"/>
      <c r="K128" s="66"/>
      <c r="L128" s="1"/>
    </row>
    <row r="129" spans="1:12" x14ac:dyDescent="0.25">
      <c r="A129" s="1">
        <f>Calculate[[#This Row],[Freq]]</f>
        <v>5760000000</v>
      </c>
      <c r="B129">
        <v>-2.1385950923598385</v>
      </c>
      <c r="D129" s="1">
        <f t="shared" si="15"/>
        <v>-2.9995559045932696</v>
      </c>
      <c r="E129" s="1">
        <f t="shared" si="16"/>
        <v>-2.7237927472895977</v>
      </c>
      <c r="F129" s="1">
        <f t="shared" si="17"/>
        <v>-2.44704492033329</v>
      </c>
      <c r="G129" s="1">
        <f t="shared" si="18"/>
        <v>-2.8733730756263527</v>
      </c>
      <c r="H129" s="1">
        <f t="shared" si="19"/>
        <v>-2.4337155812298175</v>
      </c>
      <c r="I129" s="1">
        <f>S$3*(((1+S$5*(T-20))*$A129)^S$4) + S$2*$A129</f>
        <v>-2.1385950923598385</v>
      </c>
      <c r="J129" s="66"/>
      <c r="K129" s="66"/>
      <c r="L129" s="1"/>
    </row>
    <row r="130" spans="1:12" x14ac:dyDescent="0.25">
      <c r="A130" s="1">
        <f>Calculate[[#This Row],[Freq]]</f>
        <v>5805000000</v>
      </c>
      <c r="B130">
        <v>-2.1490109461288598</v>
      </c>
      <c r="D130" s="1">
        <f t="shared" ref="D130:D161" si="20">N$3*(((1+N$5*(T-20))*$A130)^N$4) + N$2*$A130</f>
        <v>-3.013384430852343</v>
      </c>
      <c r="E130" s="1">
        <f t="shared" ref="E130:E161" si="21">O$3*(((1+O$5*(T-20))*$A130)^O$4) + O$2*$A130</f>
        <v>-2.7364027799294846</v>
      </c>
      <c r="F130" s="1">
        <f t="shared" ref="F130:F161" si="22">P$3*(((1+P$5*(T-20))*$A130)^P$4) + P$2*$A130</f>
        <v>-2.4593700751322571</v>
      </c>
      <c r="G130" s="1">
        <f t="shared" ref="G130:G161" si="23">Q$3*(((1+Q$5*(T-20))*$A130)^Q$4) + Q$2*$A130</f>
        <v>-2.8892369168608143</v>
      </c>
      <c r="H130" s="1">
        <f t="shared" ref="H130:H161" si="24">R$3*(((1+R$5*(T-20))*$A130)^R$4) + R$2*$A130</f>
        <v>-2.4440564556567166</v>
      </c>
      <c r="I130" s="1">
        <f>S$3*(((1+S$5*(T-20))*$A130)^S$4) + S$2*$A130</f>
        <v>-2.1490109461288598</v>
      </c>
      <c r="J130" s="66"/>
      <c r="K130" s="66"/>
      <c r="L130" s="1"/>
    </row>
    <row r="131" spans="1:12" x14ac:dyDescent="0.25">
      <c r="A131" s="1">
        <f>Calculate[[#This Row],[Freq]]</f>
        <v>5850000000</v>
      </c>
      <c r="B131">
        <v>-2.1594025540327406</v>
      </c>
      <c r="D131" s="1">
        <f t="shared" si="20"/>
        <v>-3.027179650301898</v>
      </c>
      <c r="E131" s="1">
        <f t="shared" si="21"/>
        <v>-2.7489794043417222</v>
      </c>
      <c r="F131" s="1">
        <f t="shared" si="22"/>
        <v>-2.4716690555349294</v>
      </c>
      <c r="G131" s="1">
        <f t="shared" si="23"/>
        <v>-2.9050753852165485</v>
      </c>
      <c r="H131" s="1">
        <f t="shared" si="24"/>
        <v>-2.4543672583404654</v>
      </c>
      <c r="I131" s="1">
        <f>S$3*(((1+S$5*(T-20))*$A131)^S$4) + S$2*$A131</f>
        <v>-2.1594025540327406</v>
      </c>
      <c r="J131" s="66"/>
      <c r="K131" s="66"/>
      <c r="L131" s="1"/>
    </row>
    <row r="132" spans="1:12" x14ac:dyDescent="0.25">
      <c r="A132" s="1">
        <f>Calculate[[#This Row],[Freq]]</f>
        <v>5895000000</v>
      </c>
      <c r="B132">
        <v>-2.16977019529967</v>
      </c>
      <c r="D132" s="1">
        <f t="shared" si="20"/>
        <v>-3.0409419592305342</v>
      </c>
      <c r="E132" s="1">
        <f t="shared" si="21"/>
        <v>-2.7615230052731068</v>
      </c>
      <c r="F132" s="1">
        <f t="shared" si="22"/>
        <v>-2.4839421629794787</v>
      </c>
      <c r="G132" s="1">
        <f t="shared" si="23"/>
        <v>-2.9208887729010269</v>
      </c>
      <c r="H132" s="1">
        <f t="shared" si="24"/>
        <v>-2.4646483470784375</v>
      </c>
      <c r="I132" s="1">
        <f>S$3*(((1+S$5*(T-20))*$A132)^S$4) + S$2*$A132</f>
        <v>-2.16977019529967</v>
      </c>
      <c r="J132" s="66"/>
      <c r="K132" s="66"/>
      <c r="L132" s="1"/>
    </row>
    <row r="133" spans="1:12" x14ac:dyDescent="0.25">
      <c r="A133" s="1">
        <f>Calculate[[#This Row],[Freq]]</f>
        <v>5940000000</v>
      </c>
      <c r="B133">
        <v>-2.1801141438390674</v>
      </c>
      <c r="D133" s="1">
        <f t="shared" si="20"/>
        <v>-3.0546717462288111</v>
      </c>
      <c r="E133" s="1">
        <f t="shared" si="21"/>
        <v>-2.774033960141733</v>
      </c>
      <c r="F133" s="1">
        <f t="shared" si="22"/>
        <v>-2.4961896931622505</v>
      </c>
      <c r="G133" s="1">
        <f t="shared" si="23"/>
        <v>-2.9366773665557231</v>
      </c>
      <c r="H133" s="1">
        <f t="shared" si="24"/>
        <v>-2.4749000727176713</v>
      </c>
      <c r="I133" s="1">
        <f>S$3*(((1+S$5*(T-20))*$A133)^S$4) + S$2*$A133</f>
        <v>-2.1801141438390674</v>
      </c>
      <c r="J133" s="66"/>
      <c r="K133" s="66"/>
      <c r="L133" s="1"/>
    </row>
    <row r="134" spans="1:12" x14ac:dyDescent="0.25">
      <c r="A134" s="1">
        <f>Calculate[[#This Row],[Freq]]</f>
        <v>5985000000</v>
      </c>
      <c r="B134">
        <v>-2.1904346683823501</v>
      </c>
      <c r="D134" s="1">
        <f t="shared" si="20"/>
        <v>-3.0683693923958355</v>
      </c>
      <c r="E134" s="1">
        <f t="shared" si="21"/>
        <v>-2.7865126392309585</v>
      </c>
      <c r="F134" s="1">
        <f t="shared" si="22"/>
        <v>-2.508411936189725</v>
      </c>
      <c r="G134" s="1">
        <f t="shared" si="23"/>
        <v>-2.9524414474034191</v>
      </c>
      <c r="H134" s="1">
        <f t="shared" si="24"/>
        <v>-2.4851227793413937</v>
      </c>
      <c r="I134" s="1">
        <f>S$3*(((1+S$5*(T-20))*$A134)^S$4) + S$2*$A134</f>
        <v>-2.1904346683823501</v>
      </c>
      <c r="J134" s="66"/>
      <c r="K134" s="66"/>
      <c r="L134" s="1"/>
    </row>
    <row r="135" spans="1:12" x14ac:dyDescent="0.25">
      <c r="A135" s="1">
        <f>Calculate[[#This Row],[Freq]]</f>
        <v>6030000000</v>
      </c>
      <c r="B135">
        <v>-2.2007320326189452</v>
      </c>
      <c r="D135" s="1">
        <f t="shared" si="20"/>
        <v>-3.0820352715388308</v>
      </c>
      <c r="E135" s="1">
        <f t="shared" si="21"/>
        <v>-2.7989594058768148</v>
      </c>
      <c r="F135" s="1">
        <f t="shared" si="22"/>
        <v>-2.5206091767253502</v>
      </c>
      <c r="G135" s="1">
        <f t="shared" si="23"/>
        <v>-2.9681812913905419</v>
      </c>
      <c r="H135" s="1">
        <f t="shared" si="24"/>
        <v>-2.4953168044492009</v>
      </c>
      <c r="I135" s="1">
        <f>S$3*(((1+S$5*(T-20))*$A135)^S$4) + S$2*$A135</f>
        <v>-2.2007320326189452</v>
      </c>
      <c r="J135" s="66"/>
      <c r="K135" s="66"/>
      <c r="L135" s="1"/>
    </row>
    <row r="136" spans="1:12" x14ac:dyDescent="0.25">
      <c r="A136" s="1">
        <f>Calculate[[#This Row],[Freq]]</f>
        <v>6075000000</v>
      </c>
      <c r="B136">
        <v>-2.2110064953277404</v>
      </c>
      <c r="D136" s="1">
        <f t="shared" si="20"/>
        <v>-3.0956697503659307</v>
      </c>
      <c r="E136" s="1">
        <f t="shared" si="21"/>
        <v>-2.8113746166491316</v>
      </c>
      <c r="F136" s="1">
        <f t="shared" si="22"/>
        <v>-2.5327816941314474</v>
      </c>
      <c r="G136" s="1">
        <f t="shared" si="23"/>
        <v>-2.9838971693247247</v>
      </c>
      <c r="H136" s="1">
        <f t="shared" si="24"/>
        <v>-2.505482479131131</v>
      </c>
      <c r="I136" s="1">
        <f>S$3*(((1+S$5*(T-20))*$A136)^S$4) + S$2*$A136</f>
        <v>-2.2110064953277404</v>
      </c>
      <c r="J136" s="66"/>
      <c r="K136" s="66"/>
      <c r="L136" s="1"/>
    </row>
    <row r="137" spans="1:12" x14ac:dyDescent="0.25">
      <c r="A137" s="1">
        <f>Calculate[[#This Row],[Freq]]</f>
        <v>6120000000</v>
      </c>
      <c r="B137">
        <v>-2.221258310504167</v>
      </c>
      <c r="D137" s="1">
        <f t="shared" si="20"/>
        <v>-3.1092731886724616</v>
      </c>
      <c r="E137" s="1">
        <f t="shared" si="21"/>
        <v>-2.8237586215266415</v>
      </c>
      <c r="F137" s="1">
        <f t="shared" si="22"/>
        <v>-2.5449297626064014</v>
      </c>
      <c r="G137" s="1">
        <f t="shared" si="23"/>
        <v>-2.9995893470077934</v>
      </c>
      <c r="H137" s="1">
        <f t="shared" si="24"/>
        <v>-2.5156201282358492</v>
      </c>
      <c r="I137" s="1">
        <f>S$3*(((1+S$5*(T-20))*$A137)^S$4) + S$2*$A137</f>
        <v>-2.221258310504167</v>
      </c>
      <c r="J137" s="66"/>
      <c r="K137" s="66"/>
      <c r="L137" s="1"/>
    </row>
    <row r="138" spans="1:12" x14ac:dyDescent="0.25">
      <c r="A138" s="1">
        <f>Calculate[[#This Row],[Freq]]</f>
        <v>6165000000</v>
      </c>
      <c r="B138">
        <v>-2.2314877274830756</v>
      </c>
      <c r="D138" s="1">
        <f t="shared" si="20"/>
        <v>-3.1228459395210586</v>
      </c>
      <c r="E138" s="1">
        <f t="shared" si="21"/>
        <v>-2.8361117640662945</v>
      </c>
      <c r="F138" s="1">
        <f t="shared" si="22"/>
        <v>-2.5570536513173119</v>
      </c>
      <c r="G138" s="1">
        <f t="shared" si="23"/>
        <v>-3.0152580853643616</v>
      </c>
      <c r="H138" s="1">
        <f t="shared" si="24"/>
        <v>-2.5257300705332733</v>
      </c>
      <c r="I138" s="1">
        <f>S$3*(((1+S$5*(T-20))*$A138)^S$4) + S$2*$A138</f>
        <v>-2.2314877274830756</v>
      </c>
      <c r="J138" s="66"/>
      <c r="K138" s="66"/>
      <c r="L138" s="1"/>
    </row>
    <row r="139" spans="1:12" x14ac:dyDescent="0.25">
      <c r="A139" s="1">
        <f>Calculate[[#This Row],[Freq]]</f>
        <v>6210000000</v>
      </c>
      <c r="B139">
        <v>-2.2416949910575945</v>
      </c>
      <c r="D139" s="1">
        <f t="shared" si="20"/>
        <v>-3.1363883494157596</v>
      </c>
      <c r="E139" s="1">
        <f t="shared" si="21"/>
        <v>-2.8484343815670283</v>
      </c>
      <c r="F139" s="1">
        <f t="shared" si="22"/>
        <v>-2.5691536245283046</v>
      </c>
      <c r="G139" s="1">
        <f t="shared" si="23"/>
        <v>-3.0309036405662044</v>
      </c>
      <c r="H139" s="1">
        <f t="shared" si="24"/>
        <v>-2.535812618871752</v>
      </c>
      <c r="I139" s="1">
        <f>S$3*(((1+S$5*(T-20))*$A139)^S$4) + S$2*$A139</f>
        <v>-2.2416949910575945</v>
      </c>
      <c r="J139" s="66"/>
      <c r="K139" s="66"/>
      <c r="L139" s="1"/>
    </row>
    <row r="140" spans="1:12" x14ac:dyDescent="0.25">
      <c r="A140" s="1">
        <f>Calculate[[#This Row],[Freq]]</f>
        <v>6255000000</v>
      </c>
      <c r="B140">
        <v>-2.2518803415941093</v>
      </c>
      <c r="D140" s="1">
        <f t="shared" si="20"/>
        <v>-3.1499007584703969</v>
      </c>
      <c r="E140" s="1">
        <f t="shared" si="21"/>
        <v>-2.8607268052281993</v>
      </c>
      <c r="F140" s="1">
        <f t="shared" si="22"/>
        <v>-2.581229941724656</v>
      </c>
      <c r="G140" s="1">
        <f t="shared" si="23"/>
        <v>-3.0465262641525896</v>
      </c>
      <c r="H140" s="1">
        <f t="shared" si="24"/>
        <v>-2.5458680803301088</v>
      </c>
      <c r="I140" s="1">
        <f>S$3*(((1+S$5*(T-20))*$A140)^S$4) + S$2*$A140</f>
        <v>-2.2518803415941093</v>
      </c>
      <c r="J140" s="66"/>
      <c r="K140" s="66"/>
      <c r="L140" s="1"/>
    </row>
    <row r="141" spans="1:12" x14ac:dyDescent="0.25">
      <c r="A141" s="1">
        <f>Calculate[[#This Row],[Freq]]</f>
        <v>6300000000</v>
      </c>
      <c r="B141">
        <v>-2.262044015143533</v>
      </c>
      <c r="D141" s="1">
        <f t="shared" si="20"/>
        <v>-3.1633835005714905</v>
      </c>
      <c r="E141" s="1">
        <f t="shared" si="21"/>
        <v>-2.8729893603029004</v>
      </c>
      <c r="F141" s="1">
        <f t="shared" si="22"/>
        <v>-2.5932828577329157</v>
      </c>
      <c r="G141" s="1">
        <f t="shared" si="23"/>
        <v>-3.0621262031467174</v>
      </c>
      <c r="H141" s="1">
        <f t="shared" si="24"/>
        <v>-2.5558967563647057</v>
      </c>
      <c r="I141" s="1">
        <f>S$3*(((1+S$5*(T-20))*$A141)^S$4) + S$2*$A141</f>
        <v>-2.262044015143533</v>
      </c>
      <c r="J141" s="66"/>
      <c r="K141" s="66"/>
      <c r="L141" s="1"/>
    </row>
    <row r="142" spans="1:12" x14ac:dyDescent="0.25">
      <c r="A142" s="1">
        <f>Calculate[[#This Row],[Freq]]</f>
        <v>6345000000</v>
      </c>
      <c r="B142">
        <v>-2.2721862435490032</v>
      </c>
      <c r="D142" s="1">
        <f t="shared" si="20"/>
        <v>-3.1768369035358495</v>
      </c>
      <c r="E142" s="1">
        <f t="shared" si="21"/>
        <v>-2.8852223662463579</v>
      </c>
      <c r="F142" s="1">
        <f t="shared" si="22"/>
        <v>-2.6053126228371677</v>
      </c>
      <c r="G142" s="1">
        <f t="shared" si="23"/>
        <v>-3.0777037001684224</v>
      </c>
      <c r="H142" s="1">
        <f t="shared" si="24"/>
        <v>-2.5658989429517418</v>
      </c>
      <c r="I142" s="1">
        <f>S$3*(((1+S$5*(T-20))*$A142)^S$4) + S$2*$A142</f>
        <v>-2.2721862435490032</v>
      </c>
      <c r="J142" s="66"/>
      <c r="K142" s="66"/>
      <c r="L142" s="1"/>
    </row>
    <row r="143" spans="1:12" x14ac:dyDescent="0.25">
      <c r="A143" s="1">
        <f>Calculate[[#This Row],[Freq]]</f>
        <v>6390000000</v>
      </c>
      <c r="B143">
        <v>-2.2823072545501484</v>
      </c>
      <c r="D143" s="1">
        <f t="shared" si="20"/>
        <v>-3.1902612892630815</v>
      </c>
      <c r="E143" s="1">
        <f t="shared" si="21"/>
        <v>-2.8974261368595968</v>
      </c>
      <c r="F143" s="1">
        <f t="shared" si="22"/>
        <v>-2.6173194828915922</v>
      </c>
      <c r="G143" s="1">
        <f t="shared" si="23"/>
        <v>-3.0932589935432899</v>
      </c>
      <c r="H143" s="1">
        <f t="shared" si="24"/>
        <v>-2.5758749307249484</v>
      </c>
      <c r="I143" s="1">
        <f>S$3*(((1+S$5*(T-20))*$A143)^S$4) + S$2*$A143</f>
        <v>-2.2823072545501484</v>
      </c>
      <c r="J143" s="66"/>
      <c r="K143" s="66"/>
      <c r="L143" s="1"/>
    </row>
    <row r="144" spans="1:12" x14ac:dyDescent="0.25">
      <c r="A144" s="1">
        <f>Calculate[[#This Row],[Freq]]</f>
        <v>6435000000</v>
      </c>
      <c r="B144">
        <v>-2.2924072718840542</v>
      </c>
      <c r="D144" s="1">
        <f t="shared" si="20"/>
        <v>-3.2036569738832656</v>
      </c>
      <c r="E144" s="1">
        <f t="shared" si="21"/>
        <v>-2.9096009804285647</v>
      </c>
      <c r="F144" s="1">
        <f t="shared" si="22"/>
        <v>-2.6293036794294622</v>
      </c>
      <c r="G144" s="1">
        <f t="shared" si="23"/>
        <v>-3.1087923174083123</v>
      </c>
      <c r="H144" s="1">
        <f t="shared" si="24"/>
        <v>-2.5858250051089184</v>
      </c>
      <c r="I144" s="1">
        <f>S$3*(((1+S$5*(T-20))*$A144)^S$4) + S$2*$A144</f>
        <v>-2.2924072718840542</v>
      </c>
      <c r="J144" s="66"/>
      <c r="K144" s="66"/>
      <c r="L144" s="1"/>
    </row>
    <row r="145" spans="1:12" x14ac:dyDescent="0.25">
      <c r="A145" s="1">
        <f>Calculate[[#This Row],[Freq]]</f>
        <v>6480000000</v>
      </c>
      <c r="B145">
        <v>-2.3024865153830638</v>
      </c>
      <c r="D145" s="1">
        <f t="shared" si="20"/>
        <v>-3.2170242678998795</v>
      </c>
      <c r="E145" s="1">
        <f t="shared" si="21"/>
        <v>-2.9217471998588875</v>
      </c>
      <c r="F145" s="1">
        <f t="shared" si="22"/>
        <v>-2.6412654497687207</v>
      </c>
      <c r="G145" s="1">
        <f t="shared" si="23"/>
        <v>-3.124303901814236</v>
      </c>
      <c r="H145" s="1">
        <f t="shared" si="24"/>
        <v>-2.5957494464481505</v>
      </c>
      <c r="I145" s="1">
        <f>S$3*(((1+S$5*(T-20))*$A145)^S$4) + S$2*$A145</f>
        <v>-2.3024865153830638</v>
      </c>
      <c r="J145" s="66"/>
      <c r="K145" s="66"/>
      <c r="L145" s="1"/>
    </row>
    <row r="146" spans="1:12" x14ac:dyDescent="0.25">
      <c r="A146" s="1">
        <f>Calculate[[#This Row],[Freq]]</f>
        <v>6525000000</v>
      </c>
      <c r="B146">
        <v>-2.3125452010695189</v>
      </c>
      <c r="D146" s="1">
        <f t="shared" si="20"/>
        <v>-3.2303634763282894</v>
      </c>
      <c r="E146" s="1">
        <f t="shared" si="21"/>
        <v>-2.9338650928064141</v>
      </c>
      <c r="F146" s="1">
        <f t="shared" si="22"/>
        <v>-2.6532050271142604</v>
      </c>
      <c r="G146" s="1">
        <f t="shared" si="23"/>
        <v>-3.1397939728247071</v>
      </c>
      <c r="H146" s="1">
        <f t="shared" si="24"/>
        <v>-2.6056485301320884</v>
      </c>
      <c r="I146" s="1">
        <f>S$3*(((1+S$5*(T-20))*$A146)^S$4) + S$2*$A146</f>
        <v>-2.3125452010695189</v>
      </c>
      <c r="J146" s="66"/>
      <c r="K146" s="66"/>
      <c r="L146" s="1"/>
    </row>
    <row r="147" spans="1:12" x14ac:dyDescent="0.25">
      <c r="A147" s="1">
        <f>Calculate[[#This Row],[Freq]]</f>
        <v>6570000000</v>
      </c>
      <c r="B147">
        <v>-2.3225835412475702</v>
      </c>
      <c r="D147" s="1">
        <f t="shared" si="20"/>
        <v>-3.2436748988298247</v>
      </c>
      <c r="E147" s="1">
        <f t="shared" si="21"/>
        <v>-2.9459549518037207</v>
      </c>
      <c r="F147" s="1">
        <f t="shared" si="22"/>
        <v>-2.6651226406570361</v>
      </c>
      <c r="G147" s="1">
        <f t="shared" si="23"/>
        <v>-3.1552627526123489</v>
      </c>
      <c r="H147" s="1">
        <f t="shared" si="24"/>
        <v>-2.6155225267161737</v>
      </c>
      <c r="I147" s="1">
        <f>S$3*(((1+S$5*(T-20))*$A147)^S$4) + S$2*$A147</f>
        <v>-2.3225835412475702</v>
      </c>
      <c r="J147" s="66"/>
      <c r="K147" s="66"/>
      <c r="L147" s="1"/>
    </row>
    <row r="148" spans="1:12" x14ac:dyDescent="0.25">
      <c r="A148" s="1">
        <f>Calculate[[#This Row],[Freq]]</f>
        <v>6615000000</v>
      </c>
      <c r="B148">
        <v>-2.3326017445921634</v>
      </c>
      <c r="D148" s="1">
        <f t="shared" si="20"/>
        <v>-3.2569588298417469</v>
      </c>
      <c r="E148" s="1">
        <f t="shared" si="21"/>
        <v>-2.9580170643827248</v>
      </c>
      <c r="F148" s="1">
        <f t="shared" si="22"/>
        <v>-2.6770185156701292</v>
      </c>
      <c r="G148" s="1">
        <f t="shared" si="23"/>
        <v>-3.1707104595518851</v>
      </c>
      <c r="H148" s="1">
        <f t="shared" si="24"/>
        <v>-2.6253717020391876</v>
      </c>
      <c r="I148" s="1">
        <f>S$3*(((1+S$5*(T-20))*$A148)^S$4) + S$2*$A148</f>
        <v>-2.3326017445921634</v>
      </c>
      <c r="J148" s="66"/>
      <c r="K148" s="66"/>
      <c r="L148" s="1"/>
    </row>
    <row r="149" spans="1:12" x14ac:dyDescent="0.25">
      <c r="A149" s="1">
        <f>Calculate[[#This Row],[Freq]]</f>
        <v>6660000000</v>
      </c>
      <c r="B149">
        <v>-2.3426000162353038</v>
      </c>
      <c r="D149" s="1">
        <f t="shared" si="20"/>
        <v>-3.2702155587031716</v>
      </c>
      <c r="E149" s="1">
        <f t="shared" si="21"/>
        <v>-2.9700517131935484</v>
      </c>
      <c r="F149" s="1">
        <f t="shared" si="22"/>
        <v>-2.6888928736018705</v>
      </c>
      <c r="G149" s="1">
        <f t="shared" si="23"/>
        <v>-3.1861373083104132</v>
      </c>
      <c r="H149" s="1">
        <f t="shared" si="24"/>
        <v>-2.6351963173369484</v>
      </c>
      <c r="I149" s="1">
        <f>S$3*(((1+S$5*(T-20))*$A149)^S$4) + S$2*$A149</f>
        <v>-2.3426000162353038</v>
      </c>
      <c r="J149" s="66"/>
      <c r="K149" s="66"/>
      <c r="L149" s="1"/>
    </row>
    <row r="150" spans="1:12" x14ac:dyDescent="0.25">
      <c r="A150" s="1">
        <f>Calculate[[#This Row],[Freq]]</f>
        <v>6705000000</v>
      </c>
      <c r="B150">
        <v>-2.3525785578497032</v>
      </c>
      <c r="D150" s="1">
        <f t="shared" si="20"/>
        <v>-3.2834453697771209</v>
      </c>
      <c r="E150" s="1">
        <f t="shared" si="21"/>
        <v>-2.9820591761197734</v>
      </c>
      <c r="F150" s="1">
        <f t="shared" si="22"/>
        <v>-2.7007459321661447</v>
      </c>
      <c r="G150" s="1">
        <f t="shared" si="23"/>
        <v>-3.2015435099349396</v>
      </c>
      <c r="H150" s="1">
        <f t="shared" si="24"/>
        <v>-2.6449966293525002</v>
      </c>
      <c r="I150" s="1">
        <f>S$3*(((1+S$5*(T-20))*$A150)^S$4) + S$2*$A150</f>
        <v>-2.3525785578497032</v>
      </c>
      <c r="J150" s="66"/>
      <c r="K150" s="66"/>
      <c r="L150" s="1"/>
    </row>
    <row r="151" spans="1:12" x14ac:dyDescent="0.25">
      <c r="A151" s="1">
        <f>Calculate[[#This Row],[Freq]]</f>
        <v>6750000000</v>
      </c>
      <c r="B151">
        <v>-2.3625375677299032</v>
      </c>
      <c r="D151" s="1">
        <f t="shared" si="20"/>
        <v>-3.2966485425688634</v>
      </c>
      <c r="E151" s="1">
        <f t="shared" si="21"/>
        <v>-2.9940397263902225</v>
      </c>
      <c r="F151" s="1">
        <f t="shared" si="22"/>
        <v>-2.7125779054299652</v>
      </c>
      <c r="G151" s="1">
        <f t="shared" si="23"/>
        <v>-3.216929271937274</v>
      </c>
      <c r="H151" s="1">
        <f t="shared" si="24"/>
        <v>-2.6547728904429704</v>
      </c>
      <c r="I151" s="1">
        <f>S$3*(((1+S$5*(T-20))*$A151)^S$4) + S$2*$A151</f>
        <v>-2.3625375677299032</v>
      </c>
      <c r="J151" s="66"/>
      <c r="K151" s="66"/>
      <c r="L151" s="1"/>
    </row>
    <row r="152" spans="1:12" x14ac:dyDescent="0.25">
      <c r="A152" s="1">
        <f>Calculate[[#This Row],[Freq]]</f>
        <v>6795000000</v>
      </c>
      <c r="B152">
        <v>-2.3724772408709716</v>
      </c>
      <c r="D152" s="1">
        <f t="shared" si="20"/>
        <v>-3.3098253518407059</v>
      </c>
      <c r="E152" s="1">
        <f t="shared" si="21"/>
        <v>-3.0059936326873942</v>
      </c>
      <c r="F152" s="1">
        <f t="shared" si="22"/>
        <v>-2.7243890038984273</v>
      </c>
      <c r="G152" s="1">
        <f t="shared" si="23"/>
        <v>-3.2322947983763841</v>
      </c>
      <c r="H152" s="1">
        <f t="shared" si="24"/>
        <v>-2.6645253486831981</v>
      </c>
      <c r="I152" s="1">
        <f>S$3*(((1+S$5*(T-20))*$A152)^S$4) + S$2*$A152</f>
        <v>-2.3724772408709716</v>
      </c>
      <c r="J152" s="66"/>
      <c r="K152" s="66"/>
      <c r="L152" s="1"/>
    </row>
    <row r="153" spans="1:12" x14ac:dyDescent="0.25">
      <c r="A153" s="1">
        <f>Calculate[[#This Row],[Freq]]</f>
        <v>6840000000</v>
      </c>
      <c r="B153">
        <v>-2.3823977690448546</v>
      </c>
      <c r="D153" s="1">
        <f t="shared" si="20"/>
        <v>-3.3229760677232631</v>
      </c>
      <c r="E153" s="1">
        <f t="shared" si="21"/>
        <v>-3.0179211592526678</v>
      </c>
      <c r="F153" s="1">
        <f t="shared" si="22"/>
        <v>-2.7361794345971377</v>
      </c>
      <c r="G153" s="1">
        <f t="shared" si="23"/>
        <v>-3.247640289938297</v>
      </c>
      <c r="H153" s="1">
        <f t="shared" si="24"/>
        <v>-2.6742542479662084</v>
      </c>
      <c r="I153" s="1">
        <f>S$3*(((1+S$5*(T-20))*$A153)^S$4) + S$2*$A153</f>
        <v>-2.3823977690448546</v>
      </c>
      <c r="J153" s="66"/>
      <c r="K153" s="66"/>
      <c r="L153" s="1"/>
    </row>
    <row r="154" spans="1:12" x14ac:dyDescent="0.25">
      <c r="A154" s="1">
        <f>Calculate[[#This Row],[Freq]]</f>
        <v>6885000000</v>
      </c>
      <c r="B154">
        <v>-2.3922993408744748</v>
      </c>
      <c r="D154" s="1">
        <f t="shared" si="20"/>
        <v>-3.3361009558234467</v>
      </c>
      <c r="E154" s="1">
        <f t="shared" si="21"/>
        <v>-3.0298225659884008</v>
      </c>
      <c r="F154" s="1">
        <f t="shared" si="22"/>
        <v>-2.7479494011522023</v>
      </c>
      <c r="G154" s="1">
        <f t="shared" si="23"/>
        <v>-3.2629659440136392</v>
      </c>
      <c r="H154" s="1">
        <f t="shared" si="24"/>
        <v>-2.6839598281007038</v>
      </c>
      <c r="I154" s="1">
        <f>S$3*(((1+S$5*(T-20))*$A154)^S$4) + S$2*$A154</f>
        <v>-2.3922993408744748</v>
      </c>
      <c r="J154" s="66"/>
      <c r="K154" s="66"/>
      <c r="L154" s="1"/>
    </row>
    <row r="155" spans="1:12" x14ac:dyDescent="0.25">
      <c r="A155" s="1">
        <f>Calculate[[#This Row],[Freq]]</f>
        <v>6930000000</v>
      </c>
      <c r="B155">
        <v>-2.4021821419056497</v>
      </c>
      <c r="D155" s="1">
        <f t="shared" si="20"/>
        <v>-3.3492002773292597</v>
      </c>
      <c r="E155" s="1">
        <f t="shared" si="21"/>
        <v>-3.041698108557028</v>
      </c>
      <c r="F155" s="1">
        <f t="shared" si="22"/>
        <v>-2.7596991038678684</v>
      </c>
      <c r="G155" s="1">
        <f t="shared" si="23"/>
        <v>-3.2782719547729018</v>
      </c>
      <c r="H155" s="1">
        <f t="shared" si="24"/>
        <v>-2.693642324905686</v>
      </c>
      <c r="I155" s="1">
        <f>S$3*(((1+S$5*(T-20))*$A155)^S$4) + S$2*$A155</f>
        <v>-2.4021821419056497</v>
      </c>
      <c r="J155" s="66"/>
      <c r="K155" s="66"/>
      <c r="L155" s="1"/>
    </row>
    <row r="156" spans="1:12" x14ac:dyDescent="0.25">
      <c r="A156" s="1">
        <f>Calculate[[#This Row],[Freq]]</f>
        <v>6975000000</v>
      </c>
      <c r="B156">
        <v>-2.4120463546769164</v>
      </c>
      <c r="D156" s="1">
        <f t="shared" si="20"/>
        <v>-3.3622742891114639</v>
      </c>
      <c r="E156" s="1">
        <f t="shared" si="21"/>
        <v>-3.0535480384772713</v>
      </c>
      <c r="F156" s="1">
        <f t="shared" si="22"/>
        <v>-2.7714287398019017</v>
      </c>
      <c r="G156" s="1">
        <f t="shared" si="23"/>
        <v>-3.2935585132395082</v>
      </c>
      <c r="H156" s="1">
        <f t="shared" si="24"/>
        <v>-2.7033019703022445</v>
      </c>
      <c r="I156" s="1">
        <f>S$3*(((1+S$5*(T-20))*$A156)^S$4) + S$2*$A156</f>
        <v>-2.4120463546769164</v>
      </c>
      <c r="J156" s="66"/>
      <c r="K156" s="66"/>
      <c r="L156" s="1"/>
    </row>
    <row r="157" spans="1:12" x14ac:dyDescent="0.25">
      <c r="A157" s="1">
        <f>Calculate[[#This Row],[Freq]]</f>
        <v>7020000000</v>
      </c>
      <c r="B157">
        <v>-2.4218921587873288</v>
      </c>
      <c r="D157" s="1">
        <f t="shared" si="20"/>
        <v>-3.3753232438222946</v>
      </c>
      <c r="E157" s="1">
        <f t="shared" si="21"/>
        <v>-3.0653726032175568</v>
      </c>
      <c r="F157" s="1">
        <f t="shared" si="22"/>
        <v>-2.783138502838777</v>
      </c>
      <c r="G157" s="1">
        <f t="shared" si="23"/>
        <v>-3.3088258073607637</v>
      </c>
      <c r="H157" s="1">
        <f t="shared" si="24"/>
        <v>-2.712938992402687</v>
      </c>
      <c r="I157" s="1">
        <f>S$3*(((1+S$5*(T-20))*$A157)^S$4) + S$2*$A157</f>
        <v>-2.4218921587873288</v>
      </c>
      <c r="J157" s="66"/>
      <c r="K157" s="66"/>
      <c r="L157" s="1"/>
    </row>
    <row r="158" spans="1:12" x14ac:dyDescent="0.25">
      <c r="A158" s="1">
        <f>Calculate[[#This Row],[Freq]]</f>
        <v>7065000000</v>
      </c>
      <c r="B158">
        <v>-2.4317197309623038</v>
      </c>
      <c r="D158" s="1">
        <f t="shared" si="20"/>
        <v>-3.3883473899912855</v>
      </c>
      <c r="E158" s="1">
        <f t="shared" si="21"/>
        <v>-3.0771720462867433</v>
      </c>
      <c r="F158" s="1">
        <f t="shared" si="22"/>
        <v>-2.7948285837607596</v>
      </c>
      <c r="G158" s="1">
        <f t="shared" si="23"/>
        <v>-3.3240740220767626</v>
      </c>
      <c r="H158" s="1">
        <f t="shared" si="24"/>
        <v>-2.7225536155970507</v>
      </c>
      <c r="I158" s="1">
        <f>S$3*(((1+S$5*(T-20))*$A158)^S$4) + S$2*$A158</f>
        <v>-2.4317197309623038</v>
      </c>
      <c r="J158" s="66"/>
      <c r="K158" s="66"/>
      <c r="L158" s="1"/>
    </row>
    <row r="159" spans="1:12" x14ac:dyDescent="0.25">
      <c r="A159" s="1">
        <f>Calculate[[#This Row],[Freq]]</f>
        <v>7110000000</v>
      </c>
      <c r="B159">
        <v>-2.4415292451175841</v>
      </c>
      <c r="D159" s="1">
        <f t="shared" si="20"/>
        <v>-3.40134697211833</v>
      </c>
      <c r="E159" s="1">
        <f t="shared" si="21"/>
        <v>-3.0889466073222565</v>
      </c>
      <c r="F159" s="1">
        <f t="shared" si="22"/>
        <v>-2.8064991703169584</v>
      </c>
      <c r="G159" s="1">
        <f t="shared" si="23"/>
        <v>-3.3393033393873219</v>
      </c>
      <c r="H159" s="1">
        <f t="shared" si="24"/>
        <v>-2.7321460606371319</v>
      </c>
      <c r="I159" s="1">
        <f>S$3*(((1+S$5*(T-20))*$A159)^S$4) + S$2*$A159</f>
        <v>-2.4415292451175841</v>
      </c>
      <c r="J159" s="66"/>
      <c r="K159" s="66"/>
      <c r="L159" s="1"/>
    </row>
    <row r="160" spans="1:12" x14ac:dyDescent="0.25">
      <c r="A160" s="1">
        <f>Calculate[[#This Row],[Freq]]</f>
        <v>7155000000</v>
      </c>
      <c r="B160">
        <v>-2.4513208724213786</v>
      </c>
      <c r="D160" s="1">
        <f t="shared" si="20"/>
        <v>-3.4143222307640735</v>
      </c>
      <c r="E160" s="1">
        <f t="shared" si="21"/>
        <v>-3.1006965221757148</v>
      </c>
      <c r="F160" s="1">
        <f t="shared" si="22"/>
        <v>-2.8181504472904075</v>
      </c>
      <c r="G160" s="1">
        <f t="shared" si="23"/>
        <v>-3.3545139384170142</v>
      </c>
      <c r="H160" s="1">
        <f t="shared" si="24"/>
        <v>-2.7417165447180949</v>
      </c>
      <c r="I160" s="1">
        <f>S$3*(((1+S$5*(T-20))*$A160)^S$4) + S$2*$A160</f>
        <v>-2.4513208724213786</v>
      </c>
      <c r="J160" s="66"/>
      <c r="K160" s="66"/>
      <c r="L160" s="1"/>
    </row>
    <row r="161" spans="1:12" x14ac:dyDescent="0.25">
      <c r="A161" s="1">
        <f>Calculate[[#This Row],[Freq]]</f>
        <v>7200000000</v>
      </c>
      <c r="B161">
        <v>-2.4610947813547517</v>
      </c>
      <c r="D161" s="1">
        <f t="shared" si="20"/>
        <v>-3.4272734026377005</v>
      </c>
      <c r="E161" s="1">
        <f t="shared" si="21"/>
        <v>-3.1124220229961335</v>
      </c>
      <c r="F161" s="1">
        <f t="shared" si="22"/>
        <v>-2.8297825965632604</v>
      </c>
      <c r="G161" s="1">
        <f t="shared" si="23"/>
        <v>-3.3697059954783599</v>
      </c>
      <c r="H161" s="1">
        <f t="shared" si="24"/>
        <v>-2.7512652815577305</v>
      </c>
      <c r="I161" s="1">
        <f>S$3*(((1+S$5*(T-20))*$A161)^S$4) + S$2*$A161</f>
        <v>-2.4610947813547517</v>
      </c>
      <c r="J161" s="66"/>
      <c r="K161" s="66"/>
      <c r="L161" s="1"/>
    </row>
    <row r="162" spans="1:12" x14ac:dyDescent="0.25">
      <c r="A162" s="1">
        <f>Calculate[[#This Row],[Freq]]</f>
        <v>7245000000</v>
      </c>
      <c r="B162">
        <v>-2.4708511377703122</v>
      </c>
      <c r="D162" s="1">
        <f t="shared" ref="D162:D193" si="25">N$3*(((1+N$5*(T-20))*$A162)^N$4) + N$2*$A162</f>
        <v>-3.4402007206822698</v>
      </c>
      <c r="E162" s="1">
        <f t="shared" ref="E162:E193" si="26">O$3*(((1+O$5*(T-20))*$A162)^O$4) + O$2*$A162</f>
        <v>-3.1241233383107971</v>
      </c>
      <c r="F162" s="1">
        <f t="shared" ref="F162:F193" si="27">P$3*(((1+P$5*(T-20))*$A162)^P$4) + P$2*$A162</f>
        <v>-2.8413957971801453</v>
      </c>
      <c r="G162" s="1">
        <f t="shared" ref="G162:G193" si="28">Q$3*(((1+Q$5*(T-20))*$A162)^Q$4) + Q$2*$A162</f>
        <v>-3.3848796841332485</v>
      </c>
      <c r="H162" s="1">
        <f t="shared" ref="H162:H193" si="29">R$3*(((1+R$5*(T-20))*$A162)^R$4) + R$2*$A162</f>
        <v>-2.7607924814735068</v>
      </c>
      <c r="I162" s="1">
        <f>S$3*(((1+S$5*(T-20))*$A162)^S$4) + S$2*$A162</f>
        <v>-2.4708511377703122</v>
      </c>
      <c r="J162" s="66"/>
      <c r="K162" s="66"/>
      <c r="L162" s="1"/>
    </row>
    <row r="163" spans="1:12" x14ac:dyDescent="0.25">
      <c r="A163" s="1">
        <f>Calculate[[#This Row],[Freq]]</f>
        <v>7290000000</v>
      </c>
      <c r="B163">
        <v>-2.4805901049492673</v>
      </c>
      <c r="D163" s="1">
        <f t="shared" si="25"/>
        <v>-3.4531044141575764</v>
      </c>
      <c r="E163" s="1">
        <f t="shared" si="26"/>
        <v>-3.1358006931038713</v>
      </c>
      <c r="F163" s="1">
        <f t="shared" si="27"/>
        <v>-2.8529902254097568</v>
      </c>
      <c r="G163" s="1">
        <f t="shared" si="28"/>
        <v>-3.400035175252639</v>
      </c>
      <c r="H163" s="1">
        <f t="shared" si="29"/>
        <v>-2.7702983514573813</v>
      </c>
      <c r="I163" s="1">
        <f>S$3*(((1+S$5*(T-20))*$A163)^S$4) + S$2*$A163</f>
        <v>-2.4805901049492673</v>
      </c>
      <c r="J163" s="66"/>
      <c r="K163" s="66"/>
      <c r="L163" s="1"/>
    </row>
    <row r="164" spans="1:12" x14ac:dyDescent="0.25">
      <c r="A164" s="1">
        <f>Calculate[[#This Row],[Freq]]</f>
        <v>7335000000</v>
      </c>
      <c r="B164">
        <v>-2.4903118436568925</v>
      </c>
      <c r="D164" s="1">
        <f t="shared" si="25"/>
        <v>-3.4659847087207636</v>
      </c>
      <c r="E164" s="1">
        <f t="shared" si="26"/>
        <v>-3.1474543088928346</v>
      </c>
      <c r="F164" s="1">
        <f t="shared" si="27"/>
        <v>-2.8645660548047416</v>
      </c>
      <c r="G164" s="1">
        <f t="shared" si="28"/>
        <v>-3.4151726370746136</v>
      </c>
      <c r="H164" s="1">
        <f t="shared" si="29"/>
        <v>-2.7797830952485807</v>
      </c>
      <c r="I164" s="1">
        <f>S$3*(((1+S$5*(T-20))*$A164)^S$4) + S$2*$A164</f>
        <v>-2.4903118436568925</v>
      </c>
      <c r="J164" s="66"/>
      <c r="K164" s="66"/>
      <c r="L164" s="1"/>
    </row>
    <row r="165" spans="1:12" x14ac:dyDescent="0.25">
      <c r="A165" s="1">
        <f>Calculate[[#This Row],[Freq]]</f>
        <v>7380000000</v>
      </c>
      <c r="B165">
        <v>-2.5000165121964741</v>
      </c>
      <c r="D165" s="1">
        <f t="shared" si="25"/>
        <v>-3.4788418265046501</v>
      </c>
      <c r="E165" s="1">
        <f t="shared" si="26"/>
        <v>-3.1590844038028076</v>
      </c>
      <c r="F165" s="1">
        <f t="shared" si="27"/>
        <v>-2.8761234562599265</v>
      </c>
      <c r="G165" s="1">
        <f t="shared" si="28"/>
        <v>-3.4302922352608256</v>
      </c>
      <c r="H165" s="1">
        <f t="shared" si="29"/>
        <v>-2.7892469134043245</v>
      </c>
      <c r="I165" s="1">
        <f>S$3*(((1+S$5*(T-20))*$A165)^S$4) + S$2*$A165</f>
        <v>-2.5000165121964741</v>
      </c>
      <c r="J165" s="66"/>
      <c r="K165" s="66"/>
      <c r="L165" s="1"/>
    </row>
    <row r="166" spans="1:12" x14ac:dyDescent="0.25">
      <c r="A166" s="1">
        <f>Calculate[[#This Row],[Freq]]</f>
        <v>7425000000</v>
      </c>
      <c r="B166">
        <v>-2.5097042664617715</v>
      </c>
      <c r="D166" s="1">
        <f t="shared" si="25"/>
        <v>-3.4916759861938811</v>
      </c>
      <c r="E166" s="1">
        <f t="shared" si="26"/>
        <v>-3.1706911926388361</v>
      </c>
      <c r="F166" s="1">
        <f t="shared" si="27"/>
        <v>-2.8876625980689576</v>
      </c>
      <c r="G166" s="1">
        <f t="shared" si="28"/>
        <v>-3.4453941329513982</v>
      </c>
      <c r="H166" s="1">
        <f t="shared" si="29"/>
        <v>-2.7986900033685749</v>
      </c>
      <c r="I166" s="1">
        <f>S$3*(((1+S$5*(T-20))*$A166)^S$4) + S$2*$A166</f>
        <v>-2.5097042664617715</v>
      </c>
      <c r="J166" s="66"/>
      <c r="K166" s="66"/>
      <c r="L166" s="1"/>
    </row>
    <row r="167" spans="1:12" x14ac:dyDescent="0.25">
      <c r="A167" s="1">
        <f>Calculate[[#This Row],[Freq]]</f>
        <v>7470000000</v>
      </c>
      <c r="B167">
        <v>-2.519375259988053</v>
      </c>
      <c r="D167" s="1">
        <f t="shared" si="25"/>
        <v>-3.5044874030989956</v>
      </c>
      <c r="E167" s="1">
        <f t="shared" si="26"/>
        <v>-3.1822748869562174</v>
      </c>
      <c r="F167" s="1">
        <f t="shared" si="27"/>
        <v>-2.8991836459793943</v>
      </c>
      <c r="G167" s="1">
        <f t="shared" si="28"/>
        <v>-3.4604784908183364</v>
      </c>
      <c r="H167" s="1">
        <f t="shared" si="29"/>
        <v>-2.8081125595389147</v>
      </c>
      <c r="I167" s="1">
        <f>S$3*(((1+S$5*(T-20))*$A167)^S$4) + S$2*$A167</f>
        <v>-2.519375259988053</v>
      </c>
      <c r="J167" s="66"/>
      <c r="K167" s="66"/>
      <c r="L167" s="1"/>
    </row>
    <row r="168" spans="1:12" x14ac:dyDescent="0.25">
      <c r="A168" s="1">
        <f>Calculate[[#This Row],[Freq]]</f>
        <v>7515000000</v>
      </c>
      <c r="B168">
        <v>-2.5290296440017497</v>
      </c>
      <c r="D168" s="1">
        <f t="shared" si="25"/>
        <v>-3.5172762892284704</v>
      </c>
      <c r="E168" s="1">
        <f t="shared" si="26"/>
        <v>-3.1938356951289162</v>
      </c>
      <c r="F168" s="1">
        <f t="shared" si="27"/>
        <v>-2.9106867632463107</v>
      </c>
      <c r="G168" s="1">
        <f t="shared" si="28"/>
        <v>-3.4755454671174846</v>
      </c>
      <c r="H168" s="1">
        <f t="shared" si="29"/>
        <v>-2.8175147733315895</v>
      </c>
      <c r="I168" s="1">
        <f>S$3*(((1+S$5*(T-20))*$A168)^S$4) + S$2*$A168</f>
        <v>-2.5290296440017497</v>
      </c>
      <c r="J168" s="66"/>
      <c r="K168" s="66"/>
      <c r="L168" s="1"/>
    </row>
    <row r="169" spans="1:12" x14ac:dyDescent="0.25">
      <c r="A169" s="1">
        <f>Calculate[[#This Row],[Freq]]</f>
        <v>7560000000</v>
      </c>
      <c r="B169">
        <v>-2.5386675674687709</v>
      </c>
      <c r="D169" s="1">
        <f t="shared" si="25"/>
        <v>-3.5300428533588084</v>
      </c>
      <c r="E169" s="1">
        <f t="shared" si="26"/>
        <v>-3.2053738224161372</v>
      </c>
      <c r="F169" s="1">
        <f t="shared" si="27"/>
        <v>-2.9221721106844583</v>
      </c>
      <c r="G169" s="1">
        <f t="shared" si="28"/>
        <v>-3.4905952177390933</v>
      </c>
      <c r="H169" s="1">
        <f t="shared" si="29"/>
        <v>-2.8268968332447919</v>
      </c>
      <c r="I169" s="1">
        <f>S$3*(((1+S$5*(T-20))*$A169)^S$4) + S$2*$A169</f>
        <v>-2.5386675674687709</v>
      </c>
      <c r="J169" s="66"/>
      <c r="K169" s="66"/>
      <c r="L169" s="1"/>
    </row>
    <row r="170" spans="1:12" x14ac:dyDescent="0.25">
      <c r="A170" s="1">
        <f>Calculate[[#This Row],[Freq]]</f>
        <v>7605000000</v>
      </c>
      <c r="B170">
        <v>-2.5482891771415321</v>
      </c>
      <c r="D170" s="1">
        <f t="shared" si="25"/>
        <v>-3.5427873011027122</v>
      </c>
      <c r="E170" s="1">
        <f t="shared" si="26"/>
        <v>-3.2168894710271263</v>
      </c>
      <c r="F170" s="1">
        <f t="shared" si="27"/>
        <v>-2.9336398467190294</v>
      </c>
      <c r="G170" s="1">
        <f t="shared" si="28"/>
        <v>-3.5056278962570282</v>
      </c>
      <c r="H170" s="1">
        <f t="shared" si="29"/>
        <v>-2.8362589249202106</v>
      </c>
      <c r="I170" s="1">
        <f>S$3*(((1+S$5*(T-20))*$A170)^S$4) + S$2*$A170</f>
        <v>-2.5482891771415321</v>
      </c>
      <c r="J170" s="66"/>
      <c r="K170" s="66"/>
      <c r="L170" s="1"/>
    </row>
    <row r="171" spans="1:12" x14ac:dyDescent="0.25">
      <c r="A171" s="1">
        <f>Calculate[[#This Row],[Freq]]</f>
        <v>7650000000</v>
      </c>
      <c r="B171">
        <v>-2.5578946176047284</v>
      </c>
      <c r="D171" s="1">
        <f t="shared" si="25"/>
        <v>-3.5555098349754282</v>
      </c>
      <c r="E171" s="1">
        <f t="shared" si="26"/>
        <v>-3.2283828401842403</v>
      </c>
      <c r="F171" s="1">
        <f t="shared" si="27"/>
        <v>-2.9450901274350758</v>
      </c>
      <c r="G171" s="1">
        <f t="shared" si="28"/>
        <v>-3.5206436539766717</v>
      </c>
      <c r="H171" s="1">
        <f t="shared" si="29"/>
        <v>-2.8456012312029326</v>
      </c>
      <c r="I171" s="1">
        <f>S$3*(((1+S$5*(T-20))*$A171)^S$4) + S$2*$A171</f>
        <v>-2.5578946176047284</v>
      </c>
      <c r="J171" s="66"/>
      <c r="K171" s="66"/>
      <c r="L171" s="1"/>
    </row>
    <row r="172" spans="1:12" x14ac:dyDescent="0.25">
      <c r="A172" s="1">
        <f>Calculate[[#This Row],[Freq]]</f>
        <v>7695000000</v>
      </c>
      <c r="B172">
        <v>-2.5674840313198981</v>
      </c>
      <c r="D172" s="1">
        <f t="shared" si="25"/>
        <v>-3.5682106544593406</v>
      </c>
      <c r="E172" s="1">
        <f t="shared" si="26"/>
        <v>-3.239854126184353</v>
      </c>
      <c r="F172" s="1">
        <f t="shared" si="27"/>
        <v>-2.9565231066256152</v>
      </c>
      <c r="G172" s="1">
        <f t="shared" si="28"/>
        <v>-3.5356426399815621</v>
      </c>
      <c r="H172" s="1">
        <f t="shared" si="29"/>
        <v>-2.8549239321997617</v>
      </c>
      <c r="I172" s="1">
        <f>S$3*(((1+S$5*(T-20))*$A172)^S$4) + S$2*$A172</f>
        <v>-2.5674840313198981</v>
      </c>
      <c r="J172" s="66"/>
      <c r="K172" s="66"/>
      <c r="L172" s="1"/>
    </row>
    <row r="173" spans="1:12" x14ac:dyDescent="0.25">
      <c r="A173" s="1">
        <f>Calculate[[#This Row],[Freq]]</f>
        <v>7740000000</v>
      </c>
      <c r="B173">
        <v>-2.5770575586688178</v>
      </c>
      <c r="D173" s="1">
        <f t="shared" si="25"/>
        <v>-3.5808899560668301</v>
      </c>
      <c r="E173" s="1">
        <f t="shared" si="26"/>
        <v>-3.2513035224586457</v>
      </c>
      <c r="F173" s="1">
        <f t="shared" si="27"/>
        <v>-2.967938935838478</v>
      </c>
      <c r="G173" s="1">
        <f t="shared" si="28"/>
        <v>-3.550625001178803</v>
      </c>
      <c r="H173" s="1">
        <f t="shared" si="29"/>
        <v>-2.8642272053359741</v>
      </c>
      <c r="I173" s="1">
        <f>S$3*(((1+S$5*(T-20))*$A173)^S$4) + S$2*$A173</f>
        <v>-2.5770575586688178</v>
      </c>
      <c r="J173" s="66"/>
      <c r="K173" s="66"/>
      <c r="L173" s="1"/>
    </row>
    <row r="174" spans="1:12" x14ac:dyDescent="0.25">
      <c r="A174" s="1">
        <f>Calculate[[#This Row],[Freq]]</f>
        <v>7785000000</v>
      </c>
      <c r="B174">
        <v>-2.5866153379957635</v>
      </c>
      <c r="D174" s="1">
        <f t="shared" si="25"/>
        <v>-3.5935479334014744</v>
      </c>
      <c r="E174" s="1">
        <f t="shared" si="26"/>
        <v>-3.2627312196308411</v>
      </c>
      <c r="F174" s="1">
        <f t="shared" si="27"/>
        <v>-2.9793377644219299</v>
      </c>
      <c r="G174" s="1">
        <f t="shared" si="28"/>
        <v>-3.5655908823432854</v>
      </c>
      <c r="H174" s="1">
        <f t="shared" si="29"/>
        <v>-2.8735112254105699</v>
      </c>
      <c r="I174" s="1">
        <f>S$3*(((1+S$5*(T-20))*$A174)^S$4) + S$2*$A174</f>
        <v>-2.5866153379957635</v>
      </c>
      <c r="J174" s="66"/>
      <c r="K174" s="66"/>
      <c r="L174" s="1"/>
    </row>
    <row r="175" spans="1:12" x14ac:dyDescent="0.25">
      <c r="A175" s="1">
        <f>Calculate[[#This Row],[Freq]]</f>
        <v>7830000000</v>
      </c>
      <c r="B175">
        <v>-2.5961575056486721</v>
      </c>
      <c r="D175" s="1">
        <f t="shared" si="25"/>
        <v>-3.6061847772176443</v>
      </c>
      <c r="E175" s="1">
        <f t="shared" si="26"/>
        <v>-3.2741374055739176</v>
      </c>
      <c r="F175" s="1">
        <f t="shared" si="27"/>
        <v>-2.9907197395691063</v>
      </c>
      <c r="G175" s="1">
        <f t="shared" si="28"/>
        <v>-3.580540426160769</v>
      </c>
      <c r="H175" s="1">
        <f t="shared" si="29"/>
        <v>-2.8827761646500871</v>
      </c>
      <c r="I175" s="1">
        <f>S$3*(((1+S$5*(T-20))*$A175)^S$4) + S$2*$A175</f>
        <v>-2.5961575056486721</v>
      </c>
      <c r="J175" s="66"/>
      <c r="K175" s="66"/>
      <c r="L175" s="1"/>
    </row>
    <row r="176" spans="1:12" x14ac:dyDescent="0.25">
      <c r="A176" s="1">
        <f>Calculate[[#This Row],[Freq]]</f>
        <v>7875000000</v>
      </c>
      <c r="B176">
        <v>-2.6056841960192396</v>
      </c>
      <c r="D176" s="1">
        <f t="shared" si="25"/>
        <v>-3.6188006754785436</v>
      </c>
      <c r="E176" s="1">
        <f t="shared" si="26"/>
        <v>-3.2855222654653629</v>
      </c>
      <c r="F176" s="1">
        <f t="shared" si="27"/>
        <v>-3.0020850063613027</v>
      </c>
      <c r="G176" s="1">
        <f t="shared" si="28"/>
        <v>-3.5954737732698412</v>
      </c>
      <c r="H176" s="1">
        <f t="shared" si="29"/>
        <v>-2.8920221927609986</v>
      </c>
      <c r="I176" s="1">
        <f>S$3*(((1+S$5*(T-20))*$A176)^S$4) + S$2*$A176</f>
        <v>-2.6056841960192396</v>
      </c>
      <c r="J176" s="66"/>
      <c r="K176" s="66"/>
      <c r="L176" s="1"/>
    </row>
    <row r="177" spans="1:12" x14ac:dyDescent="0.25">
      <c r="A177" s="1">
        <f>Calculate[[#This Row],[Freq]]</f>
        <v>7920000000</v>
      </c>
      <c r="B177">
        <v>-2.6151955415819925</v>
      </c>
      <c r="D177" s="1">
        <f t="shared" si="25"/>
        <v>-3.6313958134127424</v>
      </c>
      <c r="E177" s="1">
        <f t="shared" si="26"/>
        <v>-3.2968859818410081</v>
      </c>
      <c r="F177" s="1">
        <f t="shared" si="27"/>
        <v>-3.0134337078101519</v>
      </c>
      <c r="G177" s="1">
        <f t="shared" si="28"/>
        <v>-3.6103910623028028</v>
      </c>
      <c r="H177" s="1">
        <f t="shared" si="29"/>
        <v>-2.9012494769807566</v>
      </c>
      <c r="I177" s="1">
        <f>S$3*(((1+S$5*(T-20))*$A177)^S$4) + S$2*$A177</f>
        <v>-2.6151955415819925</v>
      </c>
      <c r="J177" s="66"/>
      <c r="K177" s="66"/>
      <c r="L177" s="1"/>
    </row>
    <row r="178" spans="1:12" x14ac:dyDescent="0.25">
      <c r="A178" s="1">
        <f>Calculate[[#This Row],[Freq]]</f>
        <v>7965000000</v>
      </c>
      <c r="B178">
        <v>-2.6246916729323591</v>
      </c>
      <c r="D178" s="1">
        <f t="shared" si="25"/>
        <v>-3.6439703735692586</v>
      </c>
      <c r="E178" s="1">
        <f t="shared" si="26"/>
        <v>-3.3082287346474848</v>
      </c>
      <c r="F178" s="1">
        <f t="shared" si="27"/>
        <v>-3.0247659848987229</v>
      </c>
      <c r="G178" s="1">
        <f t="shared" si="28"/>
        <v>-3.6252924299255125</v>
      </c>
      <c r="H178" s="1">
        <f t="shared" si="29"/>
        <v>-2.9104581821275262</v>
      </c>
      <c r="I178" s="1">
        <f>S$3*(((1+S$5*(T-20))*$A178)^S$4) + S$2*$A178</f>
        <v>-2.6246916729323591</v>
      </c>
      <c r="J178" s="66"/>
      <c r="K178" s="66"/>
      <c r="L178" s="1"/>
    </row>
    <row r="179" spans="1:12" x14ac:dyDescent="0.25">
      <c r="A179" s="1">
        <f>Calculate[[#This Row],[Freq]]</f>
        <v>8010000000</v>
      </c>
      <c r="B179">
        <v>-2.634172718823776</v>
      </c>
      <c r="D179" s="1">
        <f t="shared" si="25"/>
        <v>-3.6565245358711924</v>
      </c>
      <c r="E179" s="1">
        <f t="shared" si="26"/>
        <v>-3.3195507012933585</v>
      </c>
      <c r="F179" s="1">
        <f t="shared" si="27"/>
        <v>-3.0360819766215812</v>
      </c>
      <c r="G179" s="1">
        <f t="shared" si="28"/>
        <v>-3.6401780108762156</v>
      </c>
      <c r="H179" s="1">
        <f t="shared" si="29"/>
        <v>-2.919648470648605</v>
      </c>
      <c r="I179" s="1">
        <f>S$3*(((1+S$5*(T-20))*$A179)^S$4) + S$2*$A179</f>
        <v>-2.634172718823776</v>
      </c>
      <c r="J179" s="66"/>
      <c r="K179" s="66"/>
      <c r="L179" s="1"/>
    </row>
    <row r="180" spans="1:12" x14ac:dyDescent="0.25">
      <c r="A180" s="1">
        <f>Calculate[[#This Row],[Freq]]</f>
        <v>8055000000</v>
      </c>
      <c r="B180">
        <v>-2.6436388062038549</v>
      </c>
      <c r="D180" s="1">
        <f t="shared" si="25"/>
        <v>-3.6690584776680524</v>
      </c>
      <c r="E180" s="1">
        <f t="shared" si="26"/>
        <v>-3.330852056698959</v>
      </c>
      <c r="F180" s="1">
        <f t="shared" si="27"/>
        <v>-3.0473818200238298</v>
      </c>
      <c r="G180" s="1">
        <f t="shared" si="28"/>
        <v>-3.6550479380033938</v>
      </c>
      <c r="H180" s="1">
        <f t="shared" si="29"/>
        <v>-2.9288205026676728</v>
      </c>
      <c r="I180" s="1">
        <f>S$3*(((1+S$5*(T-20))*$A180)^S$4) + S$2*$A180</f>
        <v>-2.6436388062038549</v>
      </c>
      <c r="J180" s="66"/>
      <c r="K180" s="66"/>
      <c r="L180" s="1"/>
    </row>
    <row r="181" spans="1:12" x14ac:dyDescent="0.25">
      <c r="A181" s="1">
        <f>Calculate[[#This Row],[Freq]]</f>
        <v>8100000000</v>
      </c>
      <c r="B181">
        <v>-2.6530900602496463</v>
      </c>
      <c r="D181" s="1">
        <f t="shared" si="25"/>
        <v>-3.6815723737866914</v>
      </c>
      <c r="E181" s="1">
        <f t="shared" si="26"/>
        <v>-3.3421329733449681</v>
      </c>
      <c r="F181" s="1">
        <f t="shared" si="27"/>
        <v>-3.0586656502391798</v>
      </c>
      <c r="G181" s="1">
        <f t="shared" si="28"/>
        <v>-3.6699023423026658</v>
      </c>
      <c r="H181" s="1">
        <f t="shared" si="29"/>
        <v>-2.9379744360307765</v>
      </c>
      <c r="I181" s="1">
        <f>S$3*(((1+S$5*(T-20))*$A181)^S$4) + S$2*$A181</f>
        <v>-2.6530900602496463</v>
      </c>
      <c r="J181" s="66"/>
      <c r="K181" s="66"/>
      <c r="L181" s="1"/>
    </row>
    <row r="182" spans="1:12" x14ac:dyDescent="0.25">
      <c r="A182" s="1">
        <f>Calculate[[#This Row],[Freq]]</f>
        <v>8145000000</v>
      </c>
      <c r="B182">
        <v>-2.6625266044020175</v>
      </c>
      <c r="D182" s="1">
        <f t="shared" si="25"/>
        <v>-3.6940663965810012</v>
      </c>
      <c r="E182" s="1">
        <f t="shared" si="26"/>
        <v>-3.3533936213197943</v>
      </c>
      <c r="F182" s="1">
        <f t="shared" si="27"/>
        <v>-3.0699336005270608</v>
      </c>
      <c r="G182" s="1">
        <f t="shared" si="28"/>
        <v>-3.6847413529527655</v>
      </c>
      <c r="H182" s="1">
        <f t="shared" si="29"/>
        <v>-2.9471104263511974</v>
      </c>
      <c r="I182" s="1">
        <f>S$3*(((1+S$5*(T-20))*$A182)^S$4) + S$2*$A182</f>
        <v>-2.6625266044020175</v>
      </c>
      <c r="J182" s="66"/>
      <c r="K182" s="66"/>
      <c r="L182" s="1"/>
    </row>
    <row r="183" spans="1:12" x14ac:dyDescent="0.25">
      <c r="A183" s="1">
        <f>Calculate[[#This Row],[Freq]]</f>
        <v>8190000000</v>
      </c>
      <c r="B183">
        <v>-2.6719485603991799</v>
      </c>
      <c r="D183" s="1">
        <f t="shared" si="25"/>
        <v>-3.706540715980335</v>
      </c>
      <c r="E183" s="1">
        <f t="shared" si="26"/>
        <v>-3.3646341683657672</v>
      </c>
      <c r="F183" s="1">
        <f t="shared" si="27"/>
        <v>-3.0811858023088186</v>
      </c>
      <c r="G183" s="1">
        <f t="shared" si="28"/>
        <v>-3.6995650973506269</v>
      </c>
      <c r="H183" s="1">
        <f t="shared" si="29"/>
        <v>-2.9562286270531755</v>
      </c>
      <c r="I183" s="1">
        <f>S$3*(((1+S$5*(T-20))*$A183)^S$4) + S$2*$A183</f>
        <v>-2.6719485603991799</v>
      </c>
      <c r="J183" s="66"/>
      <c r="K183" s="66"/>
      <c r="L183" s="1"/>
    </row>
    <row r="184" spans="1:12" x14ac:dyDescent="0.25">
      <c r="A184" s="1">
        <f>Calculate[[#This Row],[Freq]]</f>
        <v>8235000000</v>
      </c>
      <c r="B184">
        <v>-2.681356048309389</v>
      </c>
      <c r="D184" s="1">
        <f t="shared" si="25"/>
        <v>-3.718995499536712</v>
      </c>
      <c r="E184" s="1">
        <f t="shared" si="26"/>
        <v>-3.3758547799241927</v>
      </c>
      <c r="F184" s="1">
        <f t="shared" si="27"/>
        <v>-3.0924223852030113</v>
      </c>
      <c r="G184" s="1">
        <f t="shared" si="28"/>
        <v>-3.7143737011456035</v>
      </c>
      <c r="H184" s="1">
        <f t="shared" si="29"/>
        <v>-2.9653291894145224</v>
      </c>
      <c r="I184" s="1">
        <f>S$3*(((1+S$5*(T-20))*$A184)^S$4) + S$2*$A184</f>
        <v>-2.681356048309389</v>
      </c>
      <c r="J184" s="66"/>
      <c r="K184" s="66"/>
      <c r="L184" s="1"/>
    </row>
    <row r="185" spans="1:12" x14ac:dyDescent="0.25">
      <c r="A185" s="1">
        <f>Calculate[[#This Row],[Freq]]</f>
        <v>8280000000</v>
      </c>
      <c r="B185">
        <v>-2.6907491865628397</v>
      </c>
      <c r="D185" s="1">
        <f t="shared" si="25"/>
        <v>-3.7314309124709042</v>
      </c>
      <c r="E185" s="1">
        <f t="shared" si="26"/>
        <v>-3.3870556191793044</v>
      </c>
      <c r="F185" s="1">
        <f t="shared" si="27"/>
        <v>-3.1036434770598449</v>
      </c>
      <c r="G185" s="1">
        <f t="shared" si="28"/>
        <v>-3.7291672882728468</v>
      </c>
      <c r="H185" s="1">
        <f t="shared" si="29"/>
        <v>-2.9744122626082348</v>
      </c>
      <c r="I185" s="1">
        <f>S$3*(((1+S$5*(T-20))*$A185)^S$4) + S$2*$A185</f>
        <v>-2.6907491865628397</v>
      </c>
      <c r="J185" s="66"/>
      <c r="K185" s="66"/>
      <c r="L185" s="1"/>
    </row>
    <row r="186" spans="1:12" x14ac:dyDescent="0.25">
      <c r="A186" s="1">
        <f>Calculate[[#This Row],[Freq]]</f>
        <v>8325000000</v>
      </c>
      <c r="B186">
        <v>-2.7001280919827839</v>
      </c>
      <c r="D186" s="1">
        <f t="shared" si="25"/>
        <v>-3.7438471177173227</v>
      </c>
      <c r="E186" s="1">
        <f t="shared" si="26"/>
        <v>-3.3982368471011384</v>
      </c>
      <c r="F186" s="1">
        <f t="shared" si="27"/>
        <v>-3.1148492039947651</v>
      </c>
      <c r="G186" s="1">
        <f t="shared" si="28"/>
        <v>-3.7439459809858704</v>
      </c>
      <c r="H186" s="1">
        <f t="shared" si="29"/>
        <v>-2.9834779937430236</v>
      </c>
      <c r="I186" s="1">
        <f>S$3*(((1+S$5*(T-20))*$A186)^S$4) + S$2*$A186</f>
        <v>-2.7001280919827839</v>
      </c>
      <c r="J186" s="66"/>
      <c r="K186" s="66"/>
      <c r="L186" s="1"/>
    </row>
    <row r="187" spans="1:12" x14ac:dyDescent="0.25">
      <c r="A187" s="1">
        <f>Calculate[[#This Row],[Freq]]</f>
        <v>8370000000</v>
      </c>
      <c r="B187">
        <v>-2.7094928798158904</v>
      </c>
      <c r="D187" s="1">
        <f t="shared" si="25"/>
        <v>-3.7562442759678198</v>
      </c>
      <c r="E187" s="1">
        <f t="shared" si="26"/>
        <v>-3.4093986224873674</v>
      </c>
      <c r="F187" s="1">
        <f t="shared" si="27"/>
        <v>-3.1260396904212326</v>
      </c>
      <c r="G187" s="1">
        <f t="shared" si="28"/>
        <v>-3.7587098998883213</v>
      </c>
      <c r="H187" s="1">
        <f t="shared" si="29"/>
        <v>-2.9925265279028554</v>
      </c>
      <c r="I187" s="1">
        <f>S$3*(((1+S$5*(T-20))*$A187)^S$4) + S$2*$A187</f>
        <v>-2.7094928798158904</v>
      </c>
      <c r="J187" s="66"/>
      <c r="K187" s="66"/>
      <c r="L187" s="1"/>
    </row>
    <row r="188" spans="1:12" x14ac:dyDescent="0.25">
      <c r="A188" s="1">
        <f>Calculate[[#This Row],[Freq]]</f>
        <v>8415000000</v>
      </c>
      <c r="B188">
        <v>-2.7188436637618736</v>
      </c>
      <c r="D188" s="1">
        <f t="shared" si="25"/>
        <v>-3.7686225457144484</v>
      </c>
      <c r="E188" s="1">
        <f t="shared" si="26"/>
        <v>-3.4205411020041243</v>
      </c>
      <c r="F188" s="1">
        <f t="shared" si="27"/>
        <v>-3.1372150590827079</v>
      </c>
      <c r="G188" s="1">
        <f t="shared" si="28"/>
        <v>-3.7734591639649846</v>
      </c>
      <c r="H188" s="1">
        <f t="shared" si="29"/>
        <v>-3.0015580081855666</v>
      </c>
      <c r="I188" s="1">
        <f>S$3*(((1+S$5*(T-20))*$A188)^S$4) + S$2*$A188</f>
        <v>-2.7188436637618736</v>
      </c>
      <c r="J188" s="66"/>
      <c r="K188" s="66"/>
      <c r="L188" s="1"/>
    </row>
    <row r="189" spans="1:12" x14ac:dyDescent="0.25">
      <c r="A189" s="1">
        <f>Calculate[[#This Row],[Freq]]</f>
        <v>8460000000</v>
      </c>
      <c r="B189">
        <v>-2.7281805560024091</v>
      </c>
      <c r="D189" s="1">
        <f t="shared" si="25"/>
        <v>-3.78098208329116</v>
      </c>
      <c r="E189" s="1">
        <f t="shared" si="26"/>
        <v>-3.4316644402258465</v>
      </c>
      <c r="F189" s="1">
        <f t="shared" si="27"/>
        <v>-3.1483754310838656</v>
      </c>
      <c r="G189" s="1">
        <f t="shared" si="28"/>
        <v>-3.7881938906120443</v>
      </c>
      <c r="H189" s="1">
        <f t="shared" si="29"/>
        <v>-3.010572575740504</v>
      </c>
      <c r="I189" s="1">
        <f>S$3*(((1+S$5*(T-20))*$A189)^S$4) + S$2*$A189</f>
        <v>-2.7281805560024091</v>
      </c>
      <c r="J189" s="66"/>
      <c r="K189" s="66"/>
      <c r="L189" s="1"/>
    </row>
    <row r="190" spans="1:12" x14ac:dyDescent="0.25">
      <c r="A190" s="1">
        <f>Calculate[[#This Row],[Freq]]</f>
        <v>8505000000</v>
      </c>
      <c r="B190">
        <v>-2.7375036672293565</v>
      </c>
      <c r="D190" s="1">
        <f t="shared" si="25"/>
        <v>-3.7933230429144729</v>
      </c>
      <c r="E190" s="1">
        <f t="shared" si="26"/>
        <v>-3.4427687896741626</v>
      </c>
      <c r="F190" s="1">
        <f t="shared" si="27"/>
        <v>-3.1595209259210657</v>
      </c>
      <c r="G190" s="1">
        <f t="shared" si="28"/>
        <v>-3.8029141956666193</v>
      </c>
      <c r="H190" s="1">
        <f t="shared" si="29"/>
        <v>-3.0195703698052467</v>
      </c>
      <c r="I190" s="1">
        <f>S$3*(((1+S$5*(T-20))*$A190)^S$4) + S$2*$A190</f>
        <v>-2.7375036672293565</v>
      </c>
      <c r="J190" s="66"/>
      <c r="K190" s="66"/>
      <c r="L190" s="1"/>
    </row>
    <row r="191" spans="1:12" x14ac:dyDescent="0.25">
      <c r="A191" s="1">
        <f>Calculate[[#This Row],[Freq]]</f>
        <v>8550000000</v>
      </c>
      <c r="B191">
        <v>-2.7468131066723136</v>
      </c>
      <c r="D191" s="1">
        <f t="shared" si="25"/>
        <v>-3.8056455767232227</v>
      </c>
      <c r="E191" s="1">
        <f t="shared" si="26"/>
        <v>-3.4538543008558604</v>
      </c>
      <c r="F191" s="1">
        <f t="shared" si="27"/>
        <v>-3.1706516615120952</v>
      </c>
      <c r="G191" s="1">
        <f t="shared" si="28"/>
        <v>-3.817620193435594</v>
      </c>
      <c r="H191" s="1">
        <f t="shared" si="29"/>
        <v>-3.0285515277414943</v>
      </c>
      <c r="I191" s="1">
        <f>S$3*(((1+S$5*(T-20))*$A191)^S$4) + S$2*$A191</f>
        <v>-2.7468131066723136</v>
      </c>
      <c r="J191" s="66"/>
      <c r="K191" s="66"/>
      <c r="L191" s="1"/>
    </row>
    <row r="192" spans="1:12" x14ac:dyDescent="0.25">
      <c r="A192" s="1">
        <f>Calculate[[#This Row],[Freq]]</f>
        <v>8595000000</v>
      </c>
      <c r="B192">
        <v>-2.7561089821255189</v>
      </c>
      <c r="D192" s="1">
        <f t="shared" si="25"/>
        <v>-3.8179498348172922</v>
      </c>
      <c r="E192" s="1">
        <f t="shared" si="26"/>
        <v>-3.4649211222999545</v>
      </c>
      <c r="F192" s="1">
        <f t="shared" si="27"/>
        <v>-3.1817677542252141</v>
      </c>
      <c r="G192" s="1">
        <f t="shared" si="28"/>
        <v>-3.8323119967237766</v>
      </c>
      <c r="H192" s="1">
        <f t="shared" si="29"/>
        <v>-3.0375161850700376</v>
      </c>
      <c r="I192" s="1">
        <f>S$3*(((1+S$5*(T-20))*$A192)^S$4) + S$2*$A192</f>
        <v>-2.7561089821255189</v>
      </c>
      <c r="J192" s="66"/>
      <c r="K192" s="66"/>
      <c r="L192" s="1"/>
    </row>
    <row r="193" spans="1:12" x14ac:dyDescent="0.25">
      <c r="A193" s="1">
        <f>Calculate[[#This Row],[Freq]]</f>
        <v>8640000000</v>
      </c>
      <c r="B193">
        <v>-2.7653913999741189</v>
      </c>
      <c r="D193" s="1">
        <f t="shared" si="25"/>
        <v>-3.8302359652954872</v>
      </c>
      <c r="E193" s="1">
        <f t="shared" si="26"/>
        <v>-3.4759694005938795</v>
      </c>
      <c r="F193" s="1">
        <f t="shared" si="27"/>
        <v>-3.1928693189075075</v>
      </c>
      <c r="G193" s="1">
        <f t="shared" si="28"/>
        <v>-3.8469897168613825</v>
      </c>
      <c r="H193" s="1">
        <f t="shared" si="29"/>
        <v>-3.0464644755049517</v>
      </c>
      <c r="I193" s="1">
        <f>S$3*(((1+S$5*(T-20))*$A193)^S$4) + S$2*$A193</f>
        <v>-2.7653913999741189</v>
      </c>
      <c r="J193" s="66"/>
      <c r="K193" s="66"/>
      <c r="L193" s="1"/>
    </row>
    <row r="194" spans="1:12" x14ac:dyDescent="0.25">
      <c r="A194" s="1">
        <f>Calculate[[#This Row],[Freq]]</f>
        <v>8685000000</v>
      </c>
      <c r="B194">
        <v>-2.7746604652198195</v>
      </c>
      <c r="D194" s="1">
        <f t="shared" ref="D194:D201" si="30">N$3*(((1+N$5*(T-20))*$A194)^N$4) + N$2*$A194</f>
        <v>-3.8425041142924465</v>
      </c>
      <c r="E194" s="1">
        <f t="shared" ref="E194:E201" si="31">O$3*(((1+O$5*(T-20))*$A194)^O$4) + O$2*$A194</f>
        <v>-3.4869992804188388</v>
      </c>
      <c r="F194" s="1">
        <f t="shared" ref="F194:F201" si="32">P$3*(((1+P$5*(T-20))*$A194)^P$4) + P$2*$A194</f>
        <v>-3.203956468912585</v>
      </c>
      <c r="G194" s="1">
        <f t="shared" ref="G194:G201" si="33">Q$3*(((1+Q$5*(T-20))*$A194)^Q$4) + Q$2*$A194</f>
        <v>-3.8616534637308826</v>
      </c>
      <c r="H194" s="1">
        <f t="shared" ref="H194:H201" si="34">R$3*(((1+R$5*(T-20))*$A194)^R$4) + R$2*$A194</f>
        <v>-3.0553965309869242</v>
      </c>
      <c r="I194" s="1">
        <f>S$3*(((1+S$5*(T-20))*$A194)^S$4) + S$2*$A194</f>
        <v>-2.7746604652198195</v>
      </c>
      <c r="J194" s="66"/>
      <c r="K194" s="66"/>
      <c r="L194" s="1"/>
    </row>
    <row r="195" spans="1:12" x14ac:dyDescent="0.25">
      <c r="A195" s="1">
        <f>Calculate[[#This Row],[Freq]]</f>
        <v>8730000000</v>
      </c>
      <c r="B195">
        <v>-2.7839162815059471</v>
      </c>
      <c r="D195" s="1">
        <f t="shared" si="30"/>
        <v>-3.8547544260147553</v>
      </c>
      <c r="E195" s="1">
        <f t="shared" si="31"/>
        <v>-3.4980109045843286</v>
      </c>
      <c r="F195" s="1">
        <f t="shared" si="32"/>
        <v>-3.2150293161276249</v>
      </c>
      <c r="G195" s="1">
        <f t="shared" si="33"/>
        <v>-3.8763033457932266</v>
      </c>
      <c r="H195" s="1">
        <f t="shared" si="34"/>
        <v>-3.0643124817158571</v>
      </c>
      <c r="I195" s="1">
        <f>S$3*(((1+S$5*(T-20))*$A195)^S$4) + S$2*$A195</f>
        <v>-2.7839162815059471</v>
      </c>
      <c r="J195" s="66"/>
      <c r="K195" s="66"/>
      <c r="L195" s="1"/>
    </row>
    <row r="196" spans="1:12" x14ac:dyDescent="0.25">
      <c r="A196" s="1">
        <f>Calculate[[#This Row],[Freq]]</f>
        <v>8775000000</v>
      </c>
      <c r="B196">
        <v>-2.7931589511419199</v>
      </c>
      <c r="D196" s="1">
        <f t="shared" si="30"/>
        <v>-3.8669870427761586</v>
      </c>
      <c r="E196" s="1">
        <f t="shared" si="31"/>
        <v>-3.5090044140618648</v>
      </c>
      <c r="F196" s="1">
        <f t="shared" si="32"/>
        <v>-3.2260879709998012</v>
      </c>
      <c r="G196" s="1">
        <f t="shared" si="33"/>
        <v>-3.8909394701134512</v>
      </c>
      <c r="H196" s="1">
        <f t="shared" si="34"/>
        <v>-3.0732124561826653</v>
      </c>
      <c r="I196" s="1">
        <f>S$3*(((1+S$5*(T-20))*$A196)^S$4) + S$2*$A196</f>
        <v>-2.7931589511419199</v>
      </c>
      <c r="J196" s="66"/>
      <c r="K196" s="66"/>
      <c r="L196" s="1"/>
    </row>
    <row r="197" spans="1:12" x14ac:dyDescent="0.25">
      <c r="A197" s="1">
        <f>Calculate[[#This Row],[Freq]]</f>
        <v>8820000000</v>
      </c>
      <c r="B197">
        <v>-2.8023885751271624</v>
      </c>
      <c r="D197" s="1">
        <f t="shared" si="30"/>
        <v>-3.8792021050319638</v>
      </c>
      <c r="E197" s="1">
        <f t="shared" si="31"/>
        <v>-3.5199799480179292</v>
      </c>
      <c r="F197" s="1">
        <f t="shared" si="32"/>
        <v>-3.2371325425620947</v>
      </c>
      <c r="G197" s="1">
        <f t="shared" si="33"/>
        <v>-3.9055619423857086</v>
      </c>
      <c r="H197" s="1">
        <f t="shared" si="34"/>
        <v>-3.0820965812003336</v>
      </c>
      <c r="I197" s="1">
        <f>S$3*(((1+S$5*(T-20))*$A197)^S$4) + S$2*$A197</f>
        <v>-2.8023885751271624</v>
      </c>
      <c r="J197" s="66"/>
      <c r="K197" s="66"/>
      <c r="L197" s="1"/>
    </row>
    <row r="198" spans="1:12" x14ac:dyDescent="0.25">
      <c r="A198" s="1">
        <f>Calculate[[#This Row],[Freq]]</f>
        <v>8865000000</v>
      </c>
      <c r="B198">
        <v>-2.8116052531744655</v>
      </c>
      <c r="D198" s="1">
        <f t="shared" si="30"/>
        <v>-3.8913997514126848</v>
      </c>
      <c r="E198" s="1">
        <f t="shared" si="31"/>
        <v>-3.530937643846161</v>
      </c>
      <c r="F198" s="1">
        <f t="shared" si="32"/>
        <v>-3.2481631384585143</v>
      </c>
      <c r="G198" s="1">
        <f t="shared" si="33"/>
        <v>-3.9201708669577107</v>
      </c>
      <c r="H198" s="1">
        <f t="shared" si="34"/>
        <v>-3.090964981934293</v>
      </c>
      <c r="I198" s="1">
        <f>S$3*(((1+S$5*(T-20))*$A198)^S$4) + S$2*$A198</f>
        <v>-2.8116052531744655</v>
      </c>
      <c r="J198" s="66"/>
      <c r="K198" s="66"/>
      <c r="L198" s="1"/>
    </row>
    <row r="199" spans="1:12" x14ac:dyDescent="0.25">
      <c r="A199" s="1">
        <f>Calculate[[#This Row],[Freq]]</f>
        <v>8910000000</v>
      </c>
      <c r="B199">
        <v>-2.8208090837328221</v>
      </c>
      <c r="D199" s="1">
        <f t="shared" si="30"/>
        <v>-3.903580118756846</v>
      </c>
      <c r="E199" s="1">
        <f t="shared" si="31"/>
        <v>-3.5418776371988177</v>
      </c>
      <c r="F199" s="1">
        <f t="shared" si="32"/>
        <v>-3.2591798649687469</v>
      </c>
      <c r="G199" s="1">
        <f t="shared" si="33"/>
        <v>-3.9347663468546266</v>
      </c>
      <c r="H199" s="1">
        <f t="shared" si="34"/>
        <v>-3.0998177819320425</v>
      </c>
      <c r="I199" s="1">
        <f>S$3*(((1+S$5*(T-20))*$A199)^S$4) + S$2*$A199</f>
        <v>-2.8208090837328221</v>
      </c>
      <c r="J199" s="66"/>
      <c r="K199" s="66"/>
      <c r="L199" s="1"/>
    </row>
    <row r="200" spans="1:12" x14ac:dyDescent="0.25">
      <c r="A200" s="1">
        <f>Calculate[[#This Row],[Freq]]</f>
        <v>8955000000</v>
      </c>
      <c r="B200">
        <v>-2.8300001640097325</v>
      </c>
      <c r="D200" s="1">
        <f t="shared" si="30"/>
        <v>-3.9157433421430921</v>
      </c>
      <c r="E200" s="1">
        <f t="shared" si="31"/>
        <v>-3.5528000620175129</v>
      </c>
      <c r="F200" s="1">
        <f t="shared" si="32"/>
        <v>-3.2701828270322366</v>
      </c>
      <c r="G200" s="1">
        <f t="shared" si="33"/>
        <v>-3.9493484838024249</v>
      </c>
      <c r="H200" s="1">
        <f t="shared" si="34"/>
        <v>-3.1086551031521337</v>
      </c>
      <c r="I200" s="1">
        <f>S$3*(((1+S$5*(T-20))*$A200)^S$4) + S$2*$A200</f>
        <v>-2.8300001640097325</v>
      </c>
      <c r="J200" s="66"/>
      <c r="K200" s="66"/>
      <c r="L200" s="1"/>
    </row>
    <row r="201" spans="1:12" x14ac:dyDescent="0.25">
      <c r="A201" s="1">
        <f>Calculate[[#This Row],[Freq]]</f>
        <v>9000000000</v>
      </c>
      <c r="B201">
        <v>-2.8391785899930184</v>
      </c>
      <c r="D201" s="1">
        <f t="shared" si="30"/>
        <v>-3.9278895549215216</v>
      </c>
      <c r="E201" s="1">
        <f t="shared" si="31"/>
        <v>-3.5637050505632728</v>
      </c>
      <c r="F201" s="1">
        <f t="shared" si="32"/>
        <v>-3.2811721282717365</v>
      </c>
      <c r="G201" s="1">
        <f t="shared" si="33"/>
        <v>-3.9639173782507018</v>
      </c>
      <c r="H201" s="1">
        <f t="shared" si="34"/>
        <v>-3.1174770659924684</v>
      </c>
      <c r="I201" s="1">
        <f>S$3*(((1+S$5*(T-20))*$A201)^S$4) + S$2*$A201</f>
        <v>-2.8391785899930184</v>
      </c>
      <c r="J201" s="66"/>
      <c r="K201" s="66"/>
      <c r="L201" s="1"/>
    </row>
  </sheetData>
  <sheetProtection algorithmName="SHA-512" hashValue="MwjPslAGKNnbzy9uNgfBGCh6ER5ycgs+Gd4zcKEOXdRLu/ndFYAX7NF8jIrySItqHNmPVwkZwzAjCd73+lvwWg==" saltValue="6jRxKwGlHCcPjtuz8ijlow==" spinCount="100000" sheet="1" objects="1" scenarios="1" insertColumns="0"/>
  <phoneticPr fontId="5" type="noConversion"/>
  <conditionalFormatting sqref="J1:K201">
    <cfRule type="expression" dxfId="2" priority="2">
      <formula>ISODD(ROW())</formula>
    </cfRule>
  </conditionalFormatting>
  <conditionalFormatting sqref="T1:U5">
    <cfRule type="expression" dxfId="1" priority="1">
      <formula>ISODD(ROW())</formula>
    </cfRule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A485BC36AA3E4A99471E0EC4FC4287" ma:contentTypeVersion="5" ma:contentTypeDescription="Create a new document." ma:contentTypeScope="" ma:versionID="8fbceb315b8a0f6b629d45095b213d3a">
  <xsd:schema xmlns:xsd="http://www.w3.org/2001/XMLSchema" xmlns:xs="http://www.w3.org/2001/XMLSchema" xmlns:p="http://schemas.microsoft.com/office/2006/metadata/properties" xmlns:ns3="ce791c57-60cf-47ef-8c29-bc56a6192fab" xmlns:ns4="f0364fbf-bd95-494d-9ef8-da3e68a3de6c" targetNamespace="http://schemas.microsoft.com/office/2006/metadata/properties" ma:root="true" ma:fieldsID="f27cf9930cacfeb19e0373bff936b31c" ns3:_="" ns4:_="">
    <xsd:import namespace="ce791c57-60cf-47ef-8c29-bc56a6192fab"/>
    <xsd:import namespace="f0364fbf-bd95-494d-9ef8-da3e68a3de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91c57-60cf-47ef-8c29-bc56a6192f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64fbf-bd95-494d-9ef8-da3e68a3de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27F2B-C1C4-40D9-AF31-CAA87A819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CF5F3A-DAC0-4894-BE44-C8B8DABBD90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ce791c57-60cf-47ef-8c29-bc56a6192fab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64fbf-bd95-494d-9ef8-da3e68a3de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56AFFD-47EA-4A5F-89DE-47F28F37A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91c57-60cf-47ef-8c29-bc56a6192fab"/>
    <ds:schemaRef ds:uri="f0364fbf-bd95-494d-9ef8-da3e68a3d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26</vt:i4>
      </vt:variant>
    </vt:vector>
  </HeadingPairs>
  <TitlesOfParts>
    <vt:vector size="31" baseType="lpstr">
      <vt:lpstr>Info</vt:lpstr>
      <vt:lpstr>Config</vt:lpstr>
      <vt:lpstr>Calculate</vt:lpstr>
      <vt:lpstr>Masks</vt:lpstr>
      <vt:lpstr>Channels</vt:lpstr>
      <vt:lpstr>AFE_noise_ds</vt:lpstr>
      <vt:lpstr>AFE_noise_us</vt:lpstr>
      <vt:lpstr>cable_length</vt:lpstr>
      <vt:lpstr>cable_model</vt:lpstr>
      <vt:lpstr>EC_cancel_ds</vt:lpstr>
      <vt:lpstr>EC_cancel_us</vt:lpstr>
      <vt:lpstr>EC_conector_ratio_ds</vt:lpstr>
      <vt:lpstr>EC_conector_ratio_us</vt:lpstr>
      <vt:lpstr>f_max</vt:lpstr>
      <vt:lpstr>F_Nyquist_ds</vt:lpstr>
      <vt:lpstr>F_Nyquist_us</vt:lpstr>
      <vt:lpstr>f_step</vt:lpstr>
      <vt:lpstr>K_ch_UPSD_ds</vt:lpstr>
      <vt:lpstr>K_ch_UPSD_us</vt:lpstr>
      <vt:lpstr>Config!Print_Area</vt:lpstr>
      <vt:lpstr>psd_mask_ds</vt:lpstr>
      <vt:lpstr>psd_mask_us</vt:lpstr>
      <vt:lpstr>req_SNR_ds</vt:lpstr>
      <vt:lpstr>req_SNR_us</vt:lpstr>
      <vt:lpstr>S_ch_ds</vt:lpstr>
      <vt:lpstr>S_ch_us</vt:lpstr>
      <vt:lpstr>sample_rate_ds</vt:lpstr>
      <vt:lpstr>sample_rate_us</vt:lpstr>
      <vt:lpstr>T</vt:lpstr>
      <vt:lpstr>Tx_power_ds</vt:lpstr>
      <vt:lpstr>Tx_power_us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 Jonsson</dc:creator>
  <cp:lastModifiedBy>Ragnar Jonsson</cp:lastModifiedBy>
  <cp:lastPrinted>2020-10-22T17:22:42Z</cp:lastPrinted>
  <dcterms:created xsi:type="dcterms:W3CDTF">2020-10-06T20:12:41Z</dcterms:created>
  <dcterms:modified xsi:type="dcterms:W3CDTF">2020-11-30T22:25:45Z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0x01010051A485BC36AA3E4A99471E0EC4FC4287</vt:lpwstr>
  </property>
</Properties>
</file>